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Лист1!$A$1:$R$84</definedName>
  </definedNames>
  <calcPr calcId="162913"/>
</workbook>
</file>

<file path=xl/calcChain.xml><?xml version="1.0" encoding="utf-8"?>
<calcChain xmlns="http://schemas.openxmlformats.org/spreadsheetml/2006/main">
  <c r="S78" i="1" l="1"/>
  <c r="S77" i="1"/>
  <c r="S76" i="1"/>
  <c r="S73" i="1"/>
  <c r="Q73" i="1"/>
  <c r="Q72" i="1"/>
  <c r="Q71" i="1"/>
  <c r="S68" i="1"/>
  <c r="Q68" i="1"/>
  <c r="Q67" i="1"/>
  <c r="Q66" i="1"/>
  <c r="F67" i="1" l="1"/>
  <c r="E67" i="1"/>
  <c r="D67" i="1"/>
  <c r="C67" i="1"/>
  <c r="B67" i="1"/>
  <c r="G66" i="1"/>
  <c r="F66" i="1"/>
  <c r="E66" i="1"/>
  <c r="D66" i="1"/>
  <c r="C66" i="1"/>
  <c r="B66" i="1"/>
  <c r="B72" i="1"/>
  <c r="B74" i="1"/>
  <c r="O63" i="1"/>
  <c r="M63" i="1"/>
  <c r="B62" i="1" l="1"/>
  <c r="P63" i="1"/>
  <c r="P62" i="1"/>
  <c r="P61" i="1"/>
  <c r="O62" i="1"/>
  <c r="P64" i="1" l="1"/>
  <c r="B57" i="1"/>
  <c r="M58" i="1"/>
  <c r="O58" i="1"/>
  <c r="M53" i="1" l="1"/>
  <c r="P53" i="1" s="1"/>
  <c r="O53" i="1"/>
  <c r="B52" i="1"/>
  <c r="P52" i="1"/>
  <c r="P51" i="1"/>
  <c r="M48" i="1" l="1"/>
  <c r="O48" i="1"/>
  <c r="B47" i="1" l="1"/>
  <c r="P48" i="1"/>
  <c r="P47" i="1"/>
  <c r="P46" i="1"/>
  <c r="P49" i="1" l="1"/>
  <c r="M43" i="1"/>
  <c r="O43" i="1"/>
  <c r="O44" i="1" s="1"/>
  <c r="B42" i="1"/>
  <c r="P43" i="1"/>
  <c r="P42" i="1"/>
  <c r="P41" i="1"/>
  <c r="N44" i="1"/>
  <c r="M44" i="1"/>
  <c r="L44" i="1"/>
  <c r="K44" i="1"/>
  <c r="J44" i="1"/>
  <c r="I44" i="1"/>
  <c r="G44" i="1"/>
  <c r="F44" i="1"/>
  <c r="E44" i="1"/>
  <c r="D44" i="1"/>
  <c r="C44" i="1"/>
  <c r="B44" i="1"/>
  <c r="P44" i="1" l="1"/>
  <c r="P38" i="1"/>
  <c r="P37" i="1"/>
  <c r="P39" i="1" s="1"/>
  <c r="P36" i="1"/>
  <c r="P31" i="1"/>
  <c r="O38" i="1"/>
  <c r="M38" i="1"/>
  <c r="B37" i="1"/>
  <c r="O33" i="1" l="1"/>
  <c r="P33" i="1"/>
  <c r="P32" i="1"/>
  <c r="M33" i="1"/>
  <c r="B32" i="1"/>
  <c r="O28" i="1" l="1"/>
  <c r="M28" i="1"/>
  <c r="B27" i="1"/>
  <c r="C27" i="1"/>
  <c r="P28" i="1"/>
  <c r="P27" i="1"/>
  <c r="P26" i="1"/>
  <c r="O22" i="1" l="1"/>
  <c r="M23" i="1"/>
  <c r="O23" i="1"/>
  <c r="P23" i="1" l="1"/>
  <c r="P22" i="1"/>
  <c r="P21" i="1"/>
  <c r="B22" i="1"/>
  <c r="C22" i="1"/>
  <c r="O18" i="1" l="1"/>
  <c r="B12" i="1"/>
  <c r="B17" i="1" l="1"/>
  <c r="G19" i="1"/>
  <c r="F19" i="1"/>
  <c r="E19" i="1"/>
  <c r="D19" i="1"/>
  <c r="C19" i="1"/>
  <c r="B19" i="1"/>
  <c r="O19" i="1"/>
  <c r="N19" i="1"/>
  <c r="M19" i="1"/>
  <c r="L19" i="1"/>
  <c r="K19" i="1"/>
  <c r="J19" i="1"/>
  <c r="P18" i="1"/>
  <c r="P17" i="1"/>
  <c r="P16" i="1"/>
  <c r="O17" i="1"/>
  <c r="M18" i="1"/>
  <c r="C17" i="1"/>
  <c r="P19" i="1" l="1"/>
  <c r="O13" i="1"/>
  <c r="M13" i="1"/>
  <c r="C12" i="1" l="1"/>
  <c r="Q8" i="1" l="1"/>
  <c r="Q7" i="1"/>
  <c r="O8" i="1"/>
  <c r="M8" i="1"/>
  <c r="B7" i="1" l="1"/>
  <c r="Q61" i="1" l="1"/>
  <c r="Q56" i="1"/>
  <c r="Q51" i="1"/>
  <c r="Q46" i="1"/>
  <c r="Q41" i="1"/>
  <c r="Q36" i="1"/>
  <c r="Q31" i="1"/>
  <c r="Q26" i="1"/>
  <c r="Q21" i="1"/>
  <c r="Q16" i="1"/>
  <c r="Q11" i="1"/>
  <c r="Q78" i="1"/>
  <c r="Q6" i="1"/>
  <c r="Q76" i="1" l="1"/>
  <c r="O78" i="1"/>
  <c r="N78" i="1"/>
  <c r="M78" i="1"/>
  <c r="L78" i="1"/>
  <c r="K78" i="1"/>
  <c r="J78" i="1"/>
  <c r="I78" i="1"/>
  <c r="N77" i="1"/>
  <c r="M77" i="1"/>
  <c r="L77" i="1"/>
  <c r="K77" i="1"/>
  <c r="J77" i="1"/>
  <c r="I77" i="1"/>
  <c r="O76" i="1"/>
  <c r="N76" i="1"/>
  <c r="M76" i="1"/>
  <c r="L76" i="1"/>
  <c r="K76" i="1"/>
  <c r="J76" i="1"/>
  <c r="I76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O73" i="1"/>
  <c r="N73" i="1"/>
  <c r="M73" i="1"/>
  <c r="L73" i="1"/>
  <c r="K73" i="1"/>
  <c r="J73" i="1"/>
  <c r="I73" i="1"/>
  <c r="O72" i="1"/>
  <c r="N72" i="1"/>
  <c r="M72" i="1"/>
  <c r="L72" i="1"/>
  <c r="K72" i="1"/>
  <c r="J72" i="1"/>
  <c r="I72" i="1"/>
  <c r="O71" i="1"/>
  <c r="N71" i="1"/>
  <c r="M71" i="1"/>
  <c r="L71" i="1"/>
  <c r="K71" i="1"/>
  <c r="J71" i="1"/>
  <c r="I71" i="1"/>
  <c r="G73" i="1"/>
  <c r="F73" i="1"/>
  <c r="E73" i="1"/>
  <c r="D73" i="1"/>
  <c r="C73" i="1"/>
  <c r="B73" i="1"/>
  <c r="G72" i="1"/>
  <c r="F72" i="1"/>
  <c r="E72" i="1"/>
  <c r="D72" i="1"/>
  <c r="C72" i="1"/>
  <c r="G71" i="1"/>
  <c r="G74" i="1" s="1"/>
  <c r="F71" i="1"/>
  <c r="F74" i="1" s="1"/>
  <c r="E71" i="1"/>
  <c r="E74" i="1" s="1"/>
  <c r="D71" i="1"/>
  <c r="D74" i="1" s="1"/>
  <c r="C71" i="1"/>
  <c r="C74" i="1" s="1"/>
  <c r="B71" i="1"/>
  <c r="C68" i="1"/>
  <c r="B68" i="1"/>
  <c r="M68" i="1"/>
  <c r="M67" i="1"/>
  <c r="M66" i="1"/>
  <c r="O68" i="1"/>
  <c r="O66" i="1"/>
  <c r="N66" i="1"/>
  <c r="L66" i="1"/>
  <c r="K66" i="1"/>
  <c r="J66" i="1"/>
  <c r="I66" i="1"/>
  <c r="G68" i="1"/>
  <c r="G67" i="1"/>
  <c r="F68" i="1"/>
  <c r="B64" i="1"/>
  <c r="O64" i="1"/>
  <c r="N64" i="1"/>
  <c r="M64" i="1"/>
  <c r="L64" i="1"/>
  <c r="K64" i="1"/>
  <c r="J64" i="1"/>
  <c r="I64" i="1"/>
  <c r="G64" i="1"/>
  <c r="F64" i="1"/>
  <c r="E64" i="1"/>
  <c r="D64" i="1"/>
  <c r="C64" i="1"/>
  <c r="H71" i="1" l="1"/>
  <c r="H72" i="1"/>
  <c r="H73" i="1"/>
  <c r="P71" i="1"/>
  <c r="P73" i="1"/>
  <c r="J74" i="1"/>
  <c r="L74" i="1"/>
  <c r="N74" i="1"/>
  <c r="M74" i="1"/>
  <c r="O74" i="1"/>
  <c r="P72" i="1"/>
  <c r="K74" i="1"/>
  <c r="P76" i="1"/>
  <c r="H66" i="1"/>
  <c r="P66" i="1"/>
  <c r="G69" i="1"/>
  <c r="G80" i="1" s="1"/>
  <c r="K79" i="1"/>
  <c r="L79" i="1"/>
  <c r="J79" i="1"/>
  <c r="M79" i="1"/>
  <c r="F69" i="1"/>
  <c r="F80" i="1" s="1"/>
  <c r="C79" i="1"/>
  <c r="E79" i="1"/>
  <c r="G79" i="1"/>
  <c r="H76" i="1"/>
  <c r="H78" i="1"/>
  <c r="F79" i="1"/>
  <c r="N79" i="1"/>
  <c r="M69" i="1"/>
  <c r="M80" i="1" s="1"/>
  <c r="H77" i="1"/>
  <c r="P78" i="1"/>
  <c r="D79" i="1"/>
  <c r="H63" i="1"/>
  <c r="H62" i="1"/>
  <c r="H61" i="1"/>
  <c r="H56" i="1"/>
  <c r="H57" i="1"/>
  <c r="H58" i="1"/>
  <c r="H59" i="1" l="1"/>
  <c r="H64" i="1"/>
  <c r="Q64" i="1" s="1"/>
  <c r="O39" i="1"/>
  <c r="N39" i="1"/>
  <c r="M39" i="1"/>
  <c r="L39" i="1"/>
  <c r="K39" i="1"/>
  <c r="J39" i="1"/>
  <c r="I39" i="1"/>
  <c r="G39" i="1"/>
  <c r="F39" i="1"/>
  <c r="E39" i="1"/>
  <c r="D39" i="1"/>
  <c r="C39" i="1"/>
  <c r="B39" i="1"/>
  <c r="P34" i="1"/>
  <c r="O34" i="1"/>
  <c r="N34" i="1"/>
  <c r="M34" i="1"/>
  <c r="L34" i="1"/>
  <c r="K34" i="1"/>
  <c r="J34" i="1"/>
  <c r="I34" i="1"/>
  <c r="G34" i="1"/>
  <c r="F34" i="1"/>
  <c r="E34" i="1"/>
  <c r="D34" i="1"/>
  <c r="C34" i="1"/>
  <c r="B34" i="1"/>
  <c r="P29" i="1"/>
  <c r="O29" i="1"/>
  <c r="N29" i="1"/>
  <c r="M29" i="1"/>
  <c r="L29" i="1"/>
  <c r="K29" i="1"/>
  <c r="J29" i="1"/>
  <c r="I29" i="1"/>
  <c r="G29" i="1"/>
  <c r="F29" i="1"/>
  <c r="E29" i="1"/>
  <c r="D29" i="1"/>
  <c r="C29" i="1"/>
  <c r="B29" i="1"/>
  <c r="O24" i="1"/>
  <c r="N24" i="1"/>
  <c r="M24" i="1"/>
  <c r="L24" i="1"/>
  <c r="K24" i="1"/>
  <c r="J24" i="1"/>
  <c r="I24" i="1"/>
  <c r="G24" i="1"/>
  <c r="F24" i="1"/>
  <c r="E24" i="1"/>
  <c r="D24" i="1"/>
  <c r="C24" i="1"/>
  <c r="B24" i="1"/>
  <c r="I19" i="1"/>
  <c r="P24" i="1" l="1"/>
  <c r="R64" i="1"/>
  <c r="Q62" i="1"/>
  <c r="O77" i="1"/>
  <c r="O67" i="1"/>
  <c r="O69" i="1" s="1"/>
  <c r="O80" i="1" s="1"/>
  <c r="O14" i="1"/>
  <c r="N14" i="1"/>
  <c r="M14" i="1"/>
  <c r="L14" i="1"/>
  <c r="K14" i="1"/>
  <c r="J14" i="1"/>
  <c r="G14" i="1"/>
  <c r="F14" i="1"/>
  <c r="E14" i="1"/>
  <c r="D14" i="1"/>
  <c r="C14" i="1"/>
  <c r="B14" i="1"/>
  <c r="G9" i="1"/>
  <c r="F9" i="1"/>
  <c r="J9" i="1"/>
  <c r="O9" i="1"/>
  <c r="M9" i="1"/>
  <c r="L9" i="1"/>
  <c r="O79" i="1" l="1"/>
  <c r="P77" i="1"/>
  <c r="O59" i="1" l="1"/>
  <c r="N59" i="1"/>
  <c r="M59" i="1"/>
  <c r="L59" i="1"/>
  <c r="G59" i="1" l="1"/>
  <c r="F59" i="1"/>
  <c r="O54" i="1" l="1"/>
  <c r="M54" i="1"/>
  <c r="H53" i="1"/>
  <c r="H52" i="1"/>
  <c r="H51" i="1"/>
  <c r="G49" i="1"/>
  <c r="F49" i="1"/>
  <c r="G54" i="1"/>
  <c r="F54" i="1"/>
  <c r="H54" i="1" l="1"/>
  <c r="O49" i="1" l="1"/>
  <c r="M49" i="1"/>
  <c r="H8" i="1"/>
  <c r="H7" i="1"/>
  <c r="H6" i="1"/>
  <c r="H13" i="1"/>
  <c r="H12" i="1"/>
  <c r="H11" i="1"/>
  <c r="H18" i="1"/>
  <c r="H17" i="1"/>
  <c r="H16" i="1"/>
  <c r="H23" i="1"/>
  <c r="H22" i="1"/>
  <c r="H21" i="1"/>
  <c r="H28" i="1"/>
  <c r="H27" i="1"/>
  <c r="H26" i="1"/>
  <c r="H33" i="1"/>
  <c r="H32" i="1"/>
  <c r="H31" i="1"/>
  <c r="H38" i="1"/>
  <c r="H37" i="1"/>
  <c r="H36" i="1"/>
  <c r="H43" i="1"/>
  <c r="H42" i="1"/>
  <c r="H44" i="1" s="1"/>
  <c r="H41" i="1"/>
  <c r="P8" i="1"/>
  <c r="P7" i="1"/>
  <c r="P6" i="1"/>
  <c r="P13" i="1"/>
  <c r="P12" i="1"/>
  <c r="P11" i="1"/>
  <c r="P58" i="1"/>
  <c r="P57" i="1"/>
  <c r="P56" i="1"/>
  <c r="H47" i="1"/>
  <c r="H48" i="1"/>
  <c r="H46" i="1"/>
  <c r="H39" i="1" l="1"/>
  <c r="Q39" i="1" s="1"/>
  <c r="H34" i="1"/>
  <c r="Q34" i="1" s="1"/>
  <c r="H29" i="1"/>
  <c r="Q29" i="1" s="1"/>
  <c r="H24" i="1"/>
  <c r="Q24" i="1" s="1"/>
  <c r="H19" i="1"/>
  <c r="Q19" i="1" s="1"/>
  <c r="R39" i="1" l="1"/>
  <c r="Q37" i="1"/>
  <c r="R34" i="1"/>
  <c r="Q32" i="1"/>
  <c r="R29" i="1"/>
  <c r="Q27" i="1"/>
  <c r="R24" i="1"/>
  <c r="Q22" i="1"/>
  <c r="R19" i="1"/>
  <c r="Q17" i="1"/>
  <c r="L68" i="1"/>
  <c r="K68" i="1"/>
  <c r="J68" i="1"/>
  <c r="L67" i="1"/>
  <c r="K67" i="1"/>
  <c r="J67" i="1"/>
  <c r="C59" i="1"/>
  <c r="B59" i="1"/>
  <c r="C54" i="1"/>
  <c r="B54" i="1"/>
  <c r="N49" i="1"/>
  <c r="B49" i="1"/>
  <c r="C9" i="1"/>
  <c r="K59" i="1"/>
  <c r="J59" i="1"/>
  <c r="N54" i="1"/>
  <c r="L54" i="1"/>
  <c r="K54" i="1"/>
  <c r="J54" i="1"/>
  <c r="I54" i="1"/>
  <c r="E54" i="1"/>
  <c r="D54" i="1"/>
  <c r="L49" i="1"/>
  <c r="K49" i="1"/>
  <c r="J49" i="1"/>
  <c r="I59" i="1"/>
  <c r="E59" i="1"/>
  <c r="D59" i="1"/>
  <c r="N9" i="1"/>
  <c r="K9" i="1"/>
  <c r="I9" i="1"/>
  <c r="E9" i="1"/>
  <c r="D9" i="1"/>
  <c r="I14" i="1"/>
  <c r="E49" i="1"/>
  <c r="D49" i="1"/>
  <c r="C49" i="1"/>
  <c r="I49" i="1"/>
  <c r="I79" i="1"/>
  <c r="E68" i="1"/>
  <c r="D68" i="1"/>
  <c r="I68" i="1"/>
  <c r="I67" i="1"/>
  <c r="H68" i="1" l="1"/>
  <c r="E69" i="1"/>
  <c r="K69" i="1"/>
  <c r="B79" i="1"/>
  <c r="J69" i="1"/>
  <c r="L69" i="1"/>
  <c r="H49" i="1"/>
  <c r="N68" i="1"/>
  <c r="P68" i="1" s="1"/>
  <c r="I74" i="1"/>
  <c r="N67" i="1"/>
  <c r="P67" i="1" s="1"/>
  <c r="B9" i="1"/>
  <c r="I69" i="1"/>
  <c r="P59" i="1"/>
  <c r="P54" i="1"/>
  <c r="Q54" i="1" s="1"/>
  <c r="P9" i="1"/>
  <c r="C69" i="1"/>
  <c r="P14" i="1"/>
  <c r="H9" i="1"/>
  <c r="R54" i="1" l="1"/>
  <c r="Q52" i="1"/>
  <c r="N69" i="1"/>
  <c r="D69" i="1"/>
  <c r="D80" i="1" s="1"/>
  <c r="H67" i="1"/>
  <c r="H69" i="1" s="1"/>
  <c r="Q49" i="1"/>
  <c r="L80" i="1"/>
  <c r="K80" i="1"/>
  <c r="J80" i="1"/>
  <c r="N80" i="1"/>
  <c r="E80" i="1"/>
  <c r="P69" i="1"/>
  <c r="C80" i="1"/>
  <c r="H74" i="1"/>
  <c r="P79" i="1"/>
  <c r="H79" i="1"/>
  <c r="I80" i="1"/>
  <c r="H14" i="1"/>
  <c r="Q14" i="1" s="1"/>
  <c r="Q59" i="1"/>
  <c r="Q9" i="1"/>
  <c r="P74" i="1"/>
  <c r="Q44" i="1"/>
  <c r="B69" i="1"/>
  <c r="R59" i="1" l="1"/>
  <c r="Q57" i="1"/>
  <c r="R49" i="1"/>
  <c r="Q47" i="1"/>
  <c r="R44" i="1"/>
  <c r="Q42" i="1"/>
  <c r="R14" i="1"/>
  <c r="Q12" i="1"/>
  <c r="R9" i="1"/>
  <c r="Q77" i="1"/>
  <c r="S79" i="1" s="1"/>
  <c r="B80" i="1"/>
  <c r="H80" i="1"/>
  <c r="Q74" i="1"/>
  <c r="R74" i="1" s="1"/>
  <c r="Q79" i="1"/>
  <c r="R79" i="1" s="1"/>
  <c r="P80" i="1"/>
  <c r="Q69" i="1"/>
  <c r="R69" i="1" l="1"/>
  <c r="Q80" i="1"/>
</calcChain>
</file>

<file path=xl/sharedStrings.xml><?xml version="1.0" encoding="utf-8"?>
<sst xmlns="http://schemas.openxmlformats.org/spreadsheetml/2006/main" count="100" uniqueCount="39">
  <si>
    <t>поступление в сеть</t>
  </si>
  <si>
    <t>МРСК</t>
  </si>
  <si>
    <t>ФСК</t>
  </si>
  <si>
    <t>январь</t>
  </si>
  <si>
    <t>СН1</t>
  </si>
  <si>
    <t>СН2</t>
  </si>
  <si>
    <t>НН</t>
  </si>
  <si>
    <t>Отпуск из сети</t>
  </si>
  <si>
    <t xml:space="preserve">Потери </t>
  </si>
  <si>
    <t>февраль</t>
  </si>
  <si>
    <t>ЗиД</t>
  </si>
  <si>
    <t>итого</t>
  </si>
  <si>
    <t>потребители</t>
  </si>
  <si>
    <t>%</t>
  </si>
  <si>
    <t>факт.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</si>
  <si>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</si>
  <si>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</si>
  <si>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</si>
  <si>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</si>
  <si>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</si>
  <si>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</si>
  <si>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</si>
  <si>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</si>
  <si>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</si>
  <si>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</si>
  <si>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1 полугодие</t>
  </si>
  <si>
    <t>итого 2 полугодие</t>
  </si>
  <si>
    <t>ООО "ЭнергоСтрой"</t>
  </si>
  <si>
    <t>ТСО "КЭСР"</t>
  </si>
  <si>
    <t>Генеральный директор                                                                    В.А.Игошин</t>
  </si>
  <si>
    <t>ВОЭК</t>
  </si>
  <si>
    <t>население</t>
  </si>
  <si>
    <t>"ВОЭК"</t>
  </si>
  <si>
    <t>КОВРОВ МОЛЛ</t>
  </si>
  <si>
    <t>КАПИТАЛ МАГНЕЗИТ</t>
  </si>
  <si>
    <t>Головино</t>
  </si>
  <si>
    <t>Ковров</t>
  </si>
  <si>
    <t>Объем переданной эл.энергии по уровням напряжения за 2019 год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</si>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</sst>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2" fontId="0" fillId="0" borderId="8" xfId="0" applyNumberFormat="1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0" fontId="0" fillId="0" borderId="13" xfId="0" applyBorder="1"/>
    <xf numFmtId="0" fontId="0" fillId="0" borderId="4" xfId="0" applyBorder="1"/>
    <xf numFmtId="0" fontId="0" fillId="0" borderId="5" xfId="0" applyBorder="1"/>
    <xf numFmtId="0" fontId="0" fillId="0" borderId="17" xfId="0" applyBorder="1"/>
    <xf numFmtId="49" fontId="0" fillId="0" borderId="7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0" fontId="1" fillId="0" borderId="1" xfId="0" applyFont="1" applyBorder="1"/>
    <xf numFmtId="2" fontId="0" fillId="0" borderId="1" xfId="0" applyNumberFormat="1" applyBorder="1"/>
    <xf numFmtId="49" fontId="0" fillId="0" borderId="3" xfId="0" applyNumberFormat="1" applyBorder="1" applyAlignment="1">
      <alignment horizontal="left" vertical="top" wrapText="1"/>
    </xf>
    <xf numFmtId="0" fontId="0" fillId="0" borderId="3" xfId="0" applyBorder="1"/>
    <xf numFmtId="0" fontId="0" fillId="0" borderId="19" xfId="0" applyBorder="1"/>
    <xf numFmtId="0" fontId="0" fillId="0" borderId="21" xfId="0" applyBorder="1"/>
    <xf numFmtId="0" fontId="0" fillId="0" borderId="12" xfId="0" applyBorder="1"/>
    <xf numFmtId="0" fontId="0" fillId="0" borderId="22" xfId="0" applyBorder="1"/>
    <xf numFmtId="0" fontId="0" fillId="0" borderId="2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18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tabSelected="1" workbookViewId="0">
      <pane ySplit="4" topLeftCell="A71" activePane="bottomLeft" state="frozen"/>
      <selection pane="bottomLeft" sqref="A1:R84"/>
    </sheetView>
  </sheetViews>
  <sheetFormatPr defaultRowHeight="15" x14ac:dyDescent="0.25"/>
  <cols>
    <col min="1" max="1" width="6.85546875" customWidth="1"/>
    <col min="2" max="2" width="9.28515625" customWidth="1"/>
    <col min="3" max="3" width="8.7109375" customWidth="1"/>
    <col min="4" max="4" width="8.42578125" customWidth="1"/>
    <col min="5" max="5" width="8.5703125" customWidth="1"/>
    <col min="6" max="6" width="10.28515625" customWidth="1"/>
    <col min="7" max="7" width="8.42578125" customWidth="1"/>
    <col min="9" max="9" width="8.28515625" customWidth="1"/>
    <col min="10" max="10" width="9.140625" customWidth="1"/>
    <col min="11" max="11" width="9.85546875" customWidth="1"/>
    <col min="12" max="13" width="7.7109375" customWidth="1"/>
    <col min="15" max="15" width="9.85546875" customWidth="1"/>
    <col min="17" max="17" width="9.7109375" customWidth="1"/>
    <col min="18" max="18" width="7.5703125" customWidth="1"/>
  </cols>
  <sheetData>
    <row r="1" spans="1:18" x14ac:dyDescent="0.25">
      <c r="A1" t="s">
        <v>27</v>
      </c>
    </row>
    <row r="2" spans="1:18" ht="15.75" thickBot="1" x14ac:dyDescent="0.3">
      <c r="A2" t="s">
        <v>37</v>
      </c>
    </row>
    <row r="3" spans="1:18" x14ac:dyDescent="0.25">
      <c r="A3" s="30" t="s">
        <v>0</v>
      </c>
      <c r="B3" s="31"/>
      <c r="C3" s="31"/>
      <c r="D3" s="31"/>
      <c r="E3" s="31"/>
      <c r="F3" s="31"/>
      <c r="G3" s="31"/>
      <c r="H3" s="32"/>
      <c r="I3" s="33" t="s">
        <v>7</v>
      </c>
      <c r="J3" s="31"/>
      <c r="K3" s="31"/>
      <c r="L3" s="31"/>
      <c r="M3" s="31"/>
      <c r="N3" s="31"/>
      <c r="O3" s="31"/>
      <c r="P3" s="32"/>
      <c r="Q3" s="34" t="s">
        <v>8</v>
      </c>
      <c r="R3" s="35"/>
    </row>
    <row r="4" spans="1:18" ht="33.75" customHeight="1" x14ac:dyDescent="0.25">
      <c r="A4" s="12"/>
      <c r="B4" s="13" t="s">
        <v>1</v>
      </c>
      <c r="C4" s="13" t="s">
        <v>2</v>
      </c>
      <c r="D4" s="13" t="s">
        <v>32</v>
      </c>
      <c r="E4" s="13" t="s">
        <v>10</v>
      </c>
      <c r="F4" s="13" t="s">
        <v>34</v>
      </c>
      <c r="G4" s="13" t="s">
        <v>33</v>
      </c>
      <c r="H4" s="14" t="s">
        <v>11</v>
      </c>
      <c r="I4" s="17" t="s">
        <v>1</v>
      </c>
      <c r="J4" s="13" t="s">
        <v>30</v>
      </c>
      <c r="K4" s="13" t="s">
        <v>28</v>
      </c>
      <c r="L4" s="36" t="s">
        <v>31</v>
      </c>
      <c r="M4" s="37"/>
      <c r="N4" s="36" t="s">
        <v>12</v>
      </c>
      <c r="O4" s="37"/>
      <c r="P4" s="14" t="s">
        <v>11</v>
      </c>
      <c r="Q4" s="17" t="s">
        <v>14</v>
      </c>
      <c r="R4" s="14" t="s">
        <v>13</v>
      </c>
    </row>
    <row r="5" spans="1:18" x14ac:dyDescent="0.25">
      <c r="A5" s="27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3"/>
    </row>
    <row r="6" spans="1:18" x14ac:dyDescent="0.25">
      <c r="A6" s="2" t="s">
        <v>4</v>
      </c>
      <c r="B6" s="1"/>
      <c r="C6" s="1"/>
      <c r="D6" s="1"/>
      <c r="E6" s="1"/>
      <c r="F6" s="1">
        <v>1820769</v>
      </c>
      <c r="G6" s="1"/>
      <c r="H6" s="3">
        <f t="shared" ref="H6:H8" si="0">SUM(B6:G6)</f>
        <v>1820769</v>
      </c>
      <c r="I6" s="18"/>
      <c r="J6" s="1"/>
      <c r="K6" s="1"/>
      <c r="L6" s="15" t="s">
        <v>35</v>
      </c>
      <c r="M6" s="15" t="s">
        <v>36</v>
      </c>
      <c r="N6" s="15" t="s">
        <v>35</v>
      </c>
      <c r="O6" s="15" t="s">
        <v>36</v>
      </c>
      <c r="P6" s="3">
        <f t="shared" ref="P6:P8" si="1">SUM(I6:O6)</f>
        <v>0</v>
      </c>
      <c r="Q6" s="18">
        <f>F6-(I7+J7)</f>
        <v>58270</v>
      </c>
      <c r="R6" s="4"/>
    </row>
    <row r="7" spans="1:18" x14ac:dyDescent="0.25">
      <c r="A7" s="2" t="s">
        <v>5</v>
      </c>
      <c r="B7" s="1">
        <f>434592+90500</f>
        <v>525092</v>
      </c>
      <c r="C7" s="1">
        <v>9240</v>
      </c>
      <c r="D7" s="1">
        <v>435716</v>
      </c>
      <c r="E7" s="1">
        <v>148927</v>
      </c>
      <c r="F7" s="1"/>
      <c r="G7" s="1">
        <v>16743</v>
      </c>
      <c r="H7" s="3">
        <f t="shared" si="0"/>
        <v>1135718</v>
      </c>
      <c r="I7" s="18">
        <v>701700</v>
      </c>
      <c r="J7" s="1">
        <v>1060799</v>
      </c>
      <c r="K7" s="1">
        <v>180631</v>
      </c>
      <c r="L7" s="1">
        <v>17020</v>
      </c>
      <c r="M7" s="1"/>
      <c r="N7" s="1">
        <v>8529</v>
      </c>
      <c r="O7" s="1">
        <v>327981</v>
      </c>
      <c r="P7" s="3">
        <f t="shared" si="1"/>
        <v>2296660</v>
      </c>
      <c r="Q7" s="18">
        <f>6227+6799+1771+2929</f>
        <v>17726</v>
      </c>
      <c r="R7" s="4"/>
    </row>
    <row r="8" spans="1:18" x14ac:dyDescent="0.25">
      <c r="A8" s="2" t="s">
        <v>6</v>
      </c>
      <c r="B8" s="1"/>
      <c r="C8" s="1"/>
      <c r="D8" s="1">
        <v>62019</v>
      </c>
      <c r="E8" s="1"/>
      <c r="F8" s="1"/>
      <c r="G8" s="1"/>
      <c r="H8" s="3">
        <f t="shared" si="0"/>
        <v>62019</v>
      </c>
      <c r="I8" s="18"/>
      <c r="J8" s="1"/>
      <c r="K8" s="1"/>
      <c r="L8" s="1">
        <v>41852</v>
      </c>
      <c r="M8" s="1">
        <f>34817+25108</f>
        <v>59925</v>
      </c>
      <c r="N8" s="1">
        <v>4112</v>
      </c>
      <c r="O8" s="1">
        <f>455748+39358</f>
        <v>495106</v>
      </c>
      <c r="P8" s="3">
        <f t="shared" si="1"/>
        <v>600995</v>
      </c>
      <c r="Q8" s="18">
        <f>Q9-Q6-Q7</f>
        <v>44855</v>
      </c>
      <c r="R8" s="4"/>
    </row>
    <row r="9" spans="1:18" x14ac:dyDescent="0.25">
      <c r="A9" s="2" t="s">
        <v>11</v>
      </c>
      <c r="B9" s="1">
        <f t="shared" ref="B9:G9" si="2">SUM(B6:B8)</f>
        <v>525092</v>
      </c>
      <c r="C9" s="1">
        <f t="shared" si="2"/>
        <v>9240</v>
      </c>
      <c r="D9" s="1">
        <f t="shared" si="2"/>
        <v>497735</v>
      </c>
      <c r="E9" s="1">
        <f t="shared" si="2"/>
        <v>148927</v>
      </c>
      <c r="F9" s="1">
        <f t="shared" si="2"/>
        <v>1820769</v>
      </c>
      <c r="G9" s="1">
        <f t="shared" si="2"/>
        <v>16743</v>
      </c>
      <c r="H9" s="3">
        <f>SUM(H6:H8)</f>
        <v>3018506</v>
      </c>
      <c r="I9" s="18">
        <f t="shared" ref="I9:O9" si="3">SUM(I6:I8)</f>
        <v>701700</v>
      </c>
      <c r="J9" s="1">
        <f t="shared" si="3"/>
        <v>1060799</v>
      </c>
      <c r="K9" s="1">
        <f t="shared" si="3"/>
        <v>180631</v>
      </c>
      <c r="L9" s="1">
        <f t="shared" si="3"/>
        <v>58872</v>
      </c>
      <c r="M9" s="1">
        <f t="shared" si="3"/>
        <v>59925</v>
      </c>
      <c r="N9" s="1">
        <f t="shared" si="3"/>
        <v>12641</v>
      </c>
      <c r="O9" s="1">
        <f t="shared" si="3"/>
        <v>823087</v>
      </c>
      <c r="P9" s="3">
        <f>SUM(P6:P8)</f>
        <v>2897655</v>
      </c>
      <c r="Q9" s="18">
        <f>H9-P9</f>
        <v>120851</v>
      </c>
      <c r="R9" s="4">
        <f>Q9/H9*100</f>
        <v>4.0036693649109854</v>
      </c>
    </row>
    <row r="10" spans="1:18" x14ac:dyDescent="0.25">
      <c r="A10" s="27" t="s">
        <v>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3"/>
    </row>
    <row r="11" spans="1:18" x14ac:dyDescent="0.25">
      <c r="A11" s="2" t="s">
        <v>4</v>
      </c>
      <c r="B11" s="1"/>
      <c r="C11" s="1"/>
      <c r="D11" s="1"/>
      <c r="E11" s="1"/>
      <c r="F11" s="1">
        <v>1628813</v>
      </c>
      <c r="G11" s="1"/>
      <c r="H11" s="3">
        <f t="shared" ref="H11:H13" si="4">SUM(B11:G11)</f>
        <v>1628813</v>
      </c>
      <c r="I11" s="18"/>
      <c r="J11" s="1"/>
      <c r="K11" s="1"/>
      <c r="L11" s="1"/>
      <c r="M11" s="1"/>
      <c r="N11" s="1"/>
      <c r="O11" s="1"/>
      <c r="P11" s="3">
        <f t="shared" ref="P11:P13" si="5">SUM(I11:O11)</f>
        <v>0</v>
      </c>
      <c r="Q11" s="18">
        <f>F11-(I12+J12)</f>
        <v>100851</v>
      </c>
      <c r="R11" s="4"/>
    </row>
    <row r="12" spans="1:18" x14ac:dyDescent="0.25">
      <c r="A12" s="2" t="s">
        <v>5</v>
      </c>
      <c r="B12" s="1">
        <f>551284-C12-E12-G12+115528</f>
        <v>526212</v>
      </c>
      <c r="C12" s="1">
        <f>5960+3740</f>
        <v>9700</v>
      </c>
      <c r="D12" s="1">
        <v>556846</v>
      </c>
      <c r="E12" s="1">
        <v>116569</v>
      </c>
      <c r="F12" s="1"/>
      <c r="G12" s="1">
        <v>14331</v>
      </c>
      <c r="H12" s="3">
        <f t="shared" si="4"/>
        <v>1223658</v>
      </c>
      <c r="I12" s="18">
        <v>601000</v>
      </c>
      <c r="J12" s="1">
        <v>926962</v>
      </c>
      <c r="K12" s="1">
        <v>168293</v>
      </c>
      <c r="L12" s="1">
        <v>17150</v>
      </c>
      <c r="M12" s="1"/>
      <c r="N12" s="1">
        <v>9221</v>
      </c>
      <c r="O12" s="1">
        <v>303422</v>
      </c>
      <c r="P12" s="3">
        <f t="shared" si="5"/>
        <v>2026048</v>
      </c>
      <c r="Q12" s="18">
        <f>Q14-(Q11+Q13)</f>
        <v>78763</v>
      </c>
      <c r="R12" s="4"/>
    </row>
    <row r="13" spans="1:18" x14ac:dyDescent="0.25">
      <c r="A13" s="2" t="s">
        <v>6</v>
      </c>
      <c r="B13" s="1"/>
      <c r="C13" s="1"/>
      <c r="D13" s="1">
        <v>73265</v>
      </c>
      <c r="E13" s="1"/>
      <c r="F13" s="1"/>
      <c r="G13" s="1"/>
      <c r="H13" s="3">
        <f t="shared" si="4"/>
        <v>73265</v>
      </c>
      <c r="I13" s="18"/>
      <c r="J13" s="1"/>
      <c r="K13" s="1"/>
      <c r="L13" s="1">
        <v>37568</v>
      </c>
      <c r="M13" s="1">
        <f>14713+20392</f>
        <v>35105</v>
      </c>
      <c r="N13" s="1">
        <v>3503</v>
      </c>
      <c r="O13" s="1">
        <f>582887+36432</f>
        <v>619319</v>
      </c>
      <c r="P13" s="3">
        <f t="shared" si="5"/>
        <v>695495</v>
      </c>
      <c r="Q13" s="18">
        <v>24579</v>
      </c>
      <c r="R13" s="4"/>
    </row>
    <row r="14" spans="1:18" x14ac:dyDescent="0.25">
      <c r="A14" s="2" t="s">
        <v>11</v>
      </c>
      <c r="B14" s="1">
        <f t="shared" ref="B14:G14" si="6">SUM(B11:B13)</f>
        <v>526212</v>
      </c>
      <c r="C14" s="1">
        <f t="shared" si="6"/>
        <v>9700</v>
      </c>
      <c r="D14" s="1">
        <f t="shared" si="6"/>
        <v>630111</v>
      </c>
      <c r="E14" s="1">
        <f t="shared" si="6"/>
        <v>116569</v>
      </c>
      <c r="F14" s="1">
        <f t="shared" si="6"/>
        <v>1628813</v>
      </c>
      <c r="G14" s="1">
        <f t="shared" si="6"/>
        <v>14331</v>
      </c>
      <c r="H14" s="3">
        <f>SUM(H11:H13)</f>
        <v>2925736</v>
      </c>
      <c r="I14" s="18">
        <f t="shared" ref="I14:O14" si="7">SUM(I11:I13)</f>
        <v>601000</v>
      </c>
      <c r="J14" s="1">
        <f t="shared" si="7"/>
        <v>926962</v>
      </c>
      <c r="K14" s="1">
        <f t="shared" si="7"/>
        <v>168293</v>
      </c>
      <c r="L14" s="1">
        <f t="shared" si="7"/>
        <v>54718</v>
      </c>
      <c r="M14" s="1">
        <f t="shared" si="7"/>
        <v>35105</v>
      </c>
      <c r="N14" s="1">
        <f t="shared" si="7"/>
        <v>12724</v>
      </c>
      <c r="O14" s="1">
        <f t="shared" si="7"/>
        <v>922741</v>
      </c>
      <c r="P14" s="3">
        <f>SUM(P11:P13)</f>
        <v>2721543</v>
      </c>
      <c r="Q14" s="18">
        <f>H14-P14</f>
        <v>204193</v>
      </c>
      <c r="R14" s="4">
        <f>Q14/H14*100</f>
        <v>6.9792011309291064</v>
      </c>
    </row>
    <row r="15" spans="1:18" x14ac:dyDescent="0.25">
      <c r="A15" s="27" t="s">
        <v>15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3"/>
    </row>
    <row r="16" spans="1:18" x14ac:dyDescent="0.25">
      <c r="A16" s="2" t="s">
        <v>4</v>
      </c>
      <c r="B16" s="1"/>
      <c r="C16" s="1"/>
      <c r="D16" s="1"/>
      <c r="E16" s="1"/>
      <c r="F16" s="1">
        <v>1666393</v>
      </c>
      <c r="G16" s="1"/>
      <c r="H16" s="3">
        <f t="shared" ref="H16:H18" si="8">SUM(B16:G16)</f>
        <v>1666393</v>
      </c>
      <c r="I16" s="18"/>
      <c r="J16" s="1"/>
      <c r="K16" s="1"/>
      <c r="L16" s="1"/>
      <c r="M16" s="1"/>
      <c r="N16" s="1"/>
      <c r="O16" s="1"/>
      <c r="P16" s="3">
        <f t="shared" ref="P16:P28" si="9">SUM(I16:O16)</f>
        <v>0</v>
      </c>
      <c r="Q16" s="18">
        <f>F16-(I17+J17)</f>
        <v>96100</v>
      </c>
      <c r="R16" s="4"/>
    </row>
    <row r="17" spans="1:18" x14ac:dyDescent="0.25">
      <c r="A17" s="2" t="s">
        <v>5</v>
      </c>
      <c r="B17" s="1">
        <f>543968-C17-E17-G17+114970</f>
        <v>515402</v>
      </c>
      <c r="C17" s="1">
        <f>5760+3760</f>
        <v>9520</v>
      </c>
      <c r="D17" s="1">
        <v>454383</v>
      </c>
      <c r="E17" s="1">
        <v>117137</v>
      </c>
      <c r="F17" s="1"/>
      <c r="G17" s="1">
        <v>16879</v>
      </c>
      <c r="H17" s="3">
        <f t="shared" si="8"/>
        <v>1113321</v>
      </c>
      <c r="I17" s="18">
        <v>605600</v>
      </c>
      <c r="J17" s="1">
        <v>964693</v>
      </c>
      <c r="K17" s="1">
        <v>176318</v>
      </c>
      <c r="L17" s="1">
        <v>14900</v>
      </c>
      <c r="M17" s="1"/>
      <c r="N17" s="1">
        <v>9349</v>
      </c>
      <c r="O17" s="1">
        <f>459256-K17</f>
        <v>282938</v>
      </c>
      <c r="P17" s="3">
        <f t="shared" si="9"/>
        <v>2053798</v>
      </c>
      <c r="Q17" s="18">
        <f>Q19-(Q16+Q18)</f>
        <v>75617</v>
      </c>
      <c r="R17" s="4"/>
    </row>
    <row r="18" spans="1:18" x14ac:dyDescent="0.25">
      <c r="A18" s="2" t="s">
        <v>6</v>
      </c>
      <c r="B18" s="1"/>
      <c r="C18" s="1"/>
      <c r="D18" s="1">
        <v>62684</v>
      </c>
      <c r="E18" s="1"/>
      <c r="F18" s="1"/>
      <c r="G18" s="1"/>
      <c r="H18" s="3">
        <f t="shared" si="8"/>
        <v>62684</v>
      </c>
      <c r="I18" s="18"/>
      <c r="J18" s="1"/>
      <c r="K18" s="1"/>
      <c r="L18" s="1">
        <v>37389</v>
      </c>
      <c r="M18" s="1">
        <f>12414+19205</f>
        <v>31619</v>
      </c>
      <c r="N18" s="1">
        <v>3617</v>
      </c>
      <c r="O18" s="1">
        <f>491533+39605-12414</f>
        <v>518724</v>
      </c>
      <c r="P18" s="3">
        <f t="shared" si="9"/>
        <v>591349</v>
      </c>
      <c r="Q18" s="18">
        <v>25534</v>
      </c>
      <c r="R18" s="4"/>
    </row>
    <row r="19" spans="1:18" x14ac:dyDescent="0.25">
      <c r="A19" s="2" t="s">
        <v>11</v>
      </c>
      <c r="B19" s="18">
        <f t="shared" ref="B19:G19" si="10">SUM(B16:B18)</f>
        <v>515402</v>
      </c>
      <c r="C19" s="18">
        <f t="shared" si="10"/>
        <v>9520</v>
      </c>
      <c r="D19" s="18">
        <f t="shared" si="10"/>
        <v>517067</v>
      </c>
      <c r="E19" s="18">
        <f t="shared" si="10"/>
        <v>117137</v>
      </c>
      <c r="F19" s="18">
        <f t="shared" si="10"/>
        <v>1666393</v>
      </c>
      <c r="G19" s="18">
        <f t="shared" si="10"/>
        <v>16879</v>
      </c>
      <c r="H19" s="3">
        <f>SUM(H16:H18)</f>
        <v>2842398</v>
      </c>
      <c r="I19" s="18">
        <f t="shared" ref="I19:O19" si="11">SUM(I16:I18)</f>
        <v>605600</v>
      </c>
      <c r="J19" s="18">
        <f t="shared" si="11"/>
        <v>964693</v>
      </c>
      <c r="K19" s="18">
        <f t="shared" si="11"/>
        <v>176318</v>
      </c>
      <c r="L19" s="18">
        <f t="shared" si="11"/>
        <v>52289</v>
      </c>
      <c r="M19" s="18">
        <f t="shared" si="11"/>
        <v>31619</v>
      </c>
      <c r="N19" s="18">
        <f t="shared" si="11"/>
        <v>12966</v>
      </c>
      <c r="O19" s="18">
        <f t="shared" si="11"/>
        <v>801662</v>
      </c>
      <c r="P19" s="3">
        <f t="shared" si="9"/>
        <v>2645147</v>
      </c>
      <c r="Q19" s="18">
        <f>H19-P19</f>
        <v>197251</v>
      </c>
      <c r="R19" s="4">
        <f>Q19/H19*100</f>
        <v>6.9395981843499754</v>
      </c>
    </row>
    <row r="20" spans="1:18" x14ac:dyDescent="0.25">
      <c r="A20" s="27" t="s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3"/>
    </row>
    <row r="21" spans="1:18" x14ac:dyDescent="0.25">
      <c r="A21" s="2" t="s">
        <v>4</v>
      </c>
      <c r="B21" s="1"/>
      <c r="C21" s="1"/>
      <c r="D21" s="1"/>
      <c r="E21" s="1"/>
      <c r="F21" s="1">
        <v>1351687</v>
      </c>
      <c r="G21" s="1"/>
      <c r="H21" s="3">
        <f t="shared" ref="H21:H23" si="12">SUM(B21:G21)</f>
        <v>1351687</v>
      </c>
      <c r="I21" s="18"/>
      <c r="J21" s="1"/>
      <c r="K21" s="1"/>
      <c r="L21" s="1"/>
      <c r="M21" s="1"/>
      <c r="N21" s="1"/>
      <c r="O21" s="1"/>
      <c r="P21" s="3">
        <f t="shared" si="9"/>
        <v>0</v>
      </c>
      <c r="Q21" s="18">
        <f>F21-(I22+J22)</f>
        <v>78984</v>
      </c>
      <c r="R21" s="3"/>
    </row>
    <row r="22" spans="1:18" x14ac:dyDescent="0.25">
      <c r="A22" s="2" t="s">
        <v>5</v>
      </c>
      <c r="B22" s="1">
        <f>418629+60498</f>
        <v>479127</v>
      </c>
      <c r="C22" s="1">
        <f>4800+3740</f>
        <v>8540</v>
      </c>
      <c r="D22" s="1">
        <v>468240</v>
      </c>
      <c r="E22" s="1">
        <v>103785</v>
      </c>
      <c r="F22" s="1"/>
      <c r="G22" s="1">
        <v>14398</v>
      </c>
      <c r="H22" s="3">
        <f t="shared" si="12"/>
        <v>1074090</v>
      </c>
      <c r="I22" s="18">
        <v>461900</v>
      </c>
      <c r="J22" s="1">
        <v>810803</v>
      </c>
      <c r="K22" s="1">
        <v>158537</v>
      </c>
      <c r="L22" s="1">
        <v>15760</v>
      </c>
      <c r="M22" s="1"/>
      <c r="N22" s="1">
        <v>8056</v>
      </c>
      <c r="O22" s="1">
        <f>471952-K22</f>
        <v>313415</v>
      </c>
      <c r="P22" s="3">
        <f t="shared" si="9"/>
        <v>1768471</v>
      </c>
      <c r="Q22" s="18">
        <f>Q24-(Q21+Q23)</f>
        <v>18773</v>
      </c>
      <c r="R22" s="3"/>
    </row>
    <row r="23" spans="1:18" x14ac:dyDescent="0.25">
      <c r="A23" s="2" t="s">
        <v>6</v>
      </c>
      <c r="B23" s="1"/>
      <c r="C23" s="1"/>
      <c r="D23" s="1">
        <v>65494</v>
      </c>
      <c r="E23" s="1"/>
      <c r="F23" s="1"/>
      <c r="G23" s="1"/>
      <c r="H23" s="3">
        <f t="shared" si="12"/>
        <v>65494</v>
      </c>
      <c r="I23" s="18"/>
      <c r="J23" s="1"/>
      <c r="K23" s="1"/>
      <c r="L23" s="1">
        <v>32611</v>
      </c>
      <c r="M23" s="1">
        <f>21109+19741</f>
        <v>40850</v>
      </c>
      <c r="N23" s="1">
        <v>3415</v>
      </c>
      <c r="O23" s="1">
        <f>34174+500375</f>
        <v>534549</v>
      </c>
      <c r="P23" s="3">
        <f t="shared" si="9"/>
        <v>611425</v>
      </c>
      <c r="Q23" s="18">
        <v>13618</v>
      </c>
      <c r="R23" s="4"/>
    </row>
    <row r="24" spans="1:18" x14ac:dyDescent="0.25">
      <c r="A24" s="2" t="s">
        <v>11</v>
      </c>
      <c r="B24" s="1">
        <f t="shared" ref="B24:G24" si="13">SUM(B21:B23)</f>
        <v>479127</v>
      </c>
      <c r="C24" s="1">
        <f t="shared" si="13"/>
        <v>8540</v>
      </c>
      <c r="D24" s="1">
        <f t="shared" si="13"/>
        <v>533734</v>
      </c>
      <c r="E24" s="1">
        <f t="shared" si="13"/>
        <v>103785</v>
      </c>
      <c r="F24" s="1">
        <f t="shared" si="13"/>
        <v>1351687</v>
      </c>
      <c r="G24" s="1">
        <f t="shared" si="13"/>
        <v>14398</v>
      </c>
      <c r="H24" s="3">
        <f>SUM(H21:H23)</f>
        <v>2491271</v>
      </c>
      <c r="I24" s="18">
        <f t="shared" ref="I24:O24" si="14">SUM(I21:I23)</f>
        <v>461900</v>
      </c>
      <c r="J24" s="1">
        <f t="shared" si="14"/>
        <v>810803</v>
      </c>
      <c r="K24" s="1">
        <f t="shared" si="14"/>
        <v>158537</v>
      </c>
      <c r="L24" s="1">
        <f t="shared" si="14"/>
        <v>48371</v>
      </c>
      <c r="M24" s="1">
        <f t="shared" si="14"/>
        <v>40850</v>
      </c>
      <c r="N24" s="1">
        <f t="shared" si="14"/>
        <v>11471</v>
      </c>
      <c r="O24" s="1">
        <f t="shared" si="14"/>
        <v>847964</v>
      </c>
      <c r="P24" s="3">
        <f t="shared" si="9"/>
        <v>2379896</v>
      </c>
      <c r="Q24" s="18">
        <f>H24-P24</f>
        <v>111375</v>
      </c>
      <c r="R24" s="4">
        <f>Q24/H24*100</f>
        <v>4.4706095804109625</v>
      </c>
    </row>
    <row r="25" spans="1:18" x14ac:dyDescent="0.25">
      <c r="A25" s="27" t="s">
        <v>17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3"/>
    </row>
    <row r="26" spans="1:18" x14ac:dyDescent="0.25">
      <c r="A26" s="2" t="s">
        <v>4</v>
      </c>
      <c r="B26" s="1"/>
      <c r="C26" s="1"/>
      <c r="D26" s="1"/>
      <c r="E26" s="1"/>
      <c r="F26" s="1">
        <v>979315</v>
      </c>
      <c r="G26" s="1"/>
      <c r="H26" s="3">
        <f t="shared" ref="H26:H28" si="15">SUM(B26:G26)</f>
        <v>979315</v>
      </c>
      <c r="I26" s="18"/>
      <c r="J26" s="1"/>
      <c r="K26" s="1"/>
      <c r="L26" s="1"/>
      <c r="M26" s="1"/>
      <c r="N26" s="1"/>
      <c r="O26" s="1"/>
      <c r="P26" s="3">
        <f t="shared" si="9"/>
        <v>0</v>
      </c>
      <c r="Q26" s="18">
        <f>F26-(I27+J27)</f>
        <v>14112</v>
      </c>
      <c r="R26" s="4"/>
    </row>
    <row r="27" spans="1:18" x14ac:dyDescent="0.25">
      <c r="A27" s="2" t="s">
        <v>5</v>
      </c>
      <c r="B27" s="1">
        <f>61811+388356</f>
        <v>450167</v>
      </c>
      <c r="C27" s="1">
        <f>3720+3100</f>
        <v>6820</v>
      </c>
      <c r="D27" s="1">
        <v>338448</v>
      </c>
      <c r="E27" s="1">
        <v>92958</v>
      </c>
      <c r="F27" s="1"/>
      <c r="G27" s="1">
        <v>12278</v>
      </c>
      <c r="H27" s="3">
        <f t="shared" si="15"/>
        <v>900671</v>
      </c>
      <c r="I27" s="18">
        <v>337850</v>
      </c>
      <c r="J27" s="1">
        <v>627353</v>
      </c>
      <c r="K27" s="1">
        <v>127008</v>
      </c>
      <c r="L27" s="1">
        <v>12360</v>
      </c>
      <c r="M27" s="1"/>
      <c r="N27" s="1">
        <v>5146</v>
      </c>
      <c r="O27" s="1">
        <v>307318</v>
      </c>
      <c r="P27" s="3">
        <f t="shared" si="9"/>
        <v>1417035</v>
      </c>
      <c r="Q27" s="18">
        <f>Q29-(Q26+Q28)</f>
        <v>30192</v>
      </c>
      <c r="R27" s="4"/>
    </row>
    <row r="28" spans="1:18" x14ac:dyDescent="0.25">
      <c r="A28" s="2" t="s">
        <v>6</v>
      </c>
      <c r="B28" s="1"/>
      <c r="C28" s="1"/>
      <c r="D28" s="1">
        <v>51711</v>
      </c>
      <c r="E28" s="1"/>
      <c r="F28" s="1"/>
      <c r="G28" s="1"/>
      <c r="H28" s="3">
        <f t="shared" si="15"/>
        <v>51711</v>
      </c>
      <c r="I28" s="18"/>
      <c r="J28" s="1"/>
      <c r="K28" s="1"/>
      <c r="L28" s="1">
        <v>31001</v>
      </c>
      <c r="M28" s="1">
        <f>12792+18406</f>
        <v>31198</v>
      </c>
      <c r="N28" s="1">
        <v>1235</v>
      </c>
      <c r="O28" s="1">
        <f>370002+29557</f>
        <v>399559</v>
      </c>
      <c r="P28" s="3">
        <f t="shared" si="9"/>
        <v>462993</v>
      </c>
      <c r="Q28" s="18">
        <v>7365</v>
      </c>
      <c r="R28" s="4"/>
    </row>
    <row r="29" spans="1:18" x14ac:dyDescent="0.25">
      <c r="A29" s="2" t="s">
        <v>11</v>
      </c>
      <c r="B29" s="1">
        <f t="shared" ref="B29:G29" si="16">SUM(B26:B28)</f>
        <v>450167</v>
      </c>
      <c r="C29" s="1">
        <f t="shared" si="16"/>
        <v>6820</v>
      </c>
      <c r="D29" s="1">
        <f t="shared" si="16"/>
        <v>390159</v>
      </c>
      <c r="E29" s="1">
        <f t="shared" si="16"/>
        <v>92958</v>
      </c>
      <c r="F29" s="1">
        <f t="shared" si="16"/>
        <v>979315</v>
      </c>
      <c r="G29" s="1">
        <f t="shared" si="16"/>
        <v>12278</v>
      </c>
      <c r="H29" s="3">
        <f>SUM(H26:H28)</f>
        <v>1931697</v>
      </c>
      <c r="I29" s="18">
        <f t="shared" ref="I29:O29" si="17">SUM(I26:I28)</f>
        <v>337850</v>
      </c>
      <c r="J29" s="1">
        <f t="shared" si="17"/>
        <v>627353</v>
      </c>
      <c r="K29" s="1">
        <f t="shared" si="17"/>
        <v>127008</v>
      </c>
      <c r="L29" s="1">
        <f t="shared" si="17"/>
        <v>43361</v>
      </c>
      <c r="M29" s="1">
        <f t="shared" si="17"/>
        <v>31198</v>
      </c>
      <c r="N29" s="1">
        <f t="shared" si="17"/>
        <v>6381</v>
      </c>
      <c r="O29" s="1">
        <f t="shared" si="17"/>
        <v>706877</v>
      </c>
      <c r="P29" s="3">
        <f>SUM(P26:P28)</f>
        <v>1880028</v>
      </c>
      <c r="Q29" s="18">
        <f>H29-P29</f>
        <v>51669</v>
      </c>
      <c r="R29" s="4">
        <f>Q29/H29*100</f>
        <v>2.6747983767640577</v>
      </c>
    </row>
    <row r="30" spans="1:18" x14ac:dyDescent="0.25">
      <c r="A30" s="27" t="s">
        <v>18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3"/>
    </row>
    <row r="31" spans="1:18" x14ac:dyDescent="0.25">
      <c r="A31" s="2" t="s">
        <v>4</v>
      </c>
      <c r="B31" s="1"/>
      <c r="C31" s="1"/>
      <c r="D31" s="1"/>
      <c r="E31" s="1"/>
      <c r="F31" s="1">
        <v>923010</v>
      </c>
      <c r="G31" s="1"/>
      <c r="H31" s="3">
        <f t="shared" ref="H31:H33" si="18">SUM(B31:G31)</f>
        <v>923010</v>
      </c>
      <c r="I31" s="18"/>
      <c r="J31" s="1"/>
      <c r="K31" s="1"/>
      <c r="L31" s="1"/>
      <c r="M31" s="1"/>
      <c r="N31" s="1"/>
      <c r="O31" s="1"/>
      <c r="P31" s="3">
        <f>SUM(I31:O31)</f>
        <v>0</v>
      </c>
      <c r="Q31" s="18">
        <f>F31-(I32+J32)</f>
        <v>64300</v>
      </c>
      <c r="R31" s="3"/>
    </row>
    <row r="32" spans="1:18" x14ac:dyDescent="0.25">
      <c r="A32" s="2" t="s">
        <v>5</v>
      </c>
      <c r="B32" s="1">
        <f>391405+58410</f>
        <v>449815</v>
      </c>
      <c r="C32" s="1">
        <v>6020</v>
      </c>
      <c r="D32" s="1">
        <v>318774</v>
      </c>
      <c r="E32" s="1">
        <v>90936</v>
      </c>
      <c r="F32" s="1"/>
      <c r="G32" s="1">
        <v>9700</v>
      </c>
      <c r="H32" s="3">
        <f t="shared" si="18"/>
        <v>875245</v>
      </c>
      <c r="I32" s="18">
        <v>293700</v>
      </c>
      <c r="J32" s="1">
        <v>565010</v>
      </c>
      <c r="K32" s="1">
        <v>115118</v>
      </c>
      <c r="L32" s="1">
        <v>10210</v>
      </c>
      <c r="M32" s="1"/>
      <c r="N32" s="1">
        <v>5149</v>
      </c>
      <c r="O32" s="1">
        <v>323598</v>
      </c>
      <c r="P32" s="3">
        <f t="shared" ref="P32:P33" si="19">SUM(I32:O32)</f>
        <v>1312785</v>
      </c>
      <c r="Q32" s="18">
        <f>Q34-(Q31+Q33)</f>
        <v>32622</v>
      </c>
      <c r="R32" s="3"/>
    </row>
    <row r="33" spans="1:18" x14ac:dyDescent="0.25">
      <c r="A33" s="2" t="s">
        <v>6</v>
      </c>
      <c r="B33" s="1"/>
      <c r="C33" s="1"/>
      <c r="D33" s="1">
        <v>42025</v>
      </c>
      <c r="E33" s="1"/>
      <c r="F33" s="1"/>
      <c r="G33" s="1"/>
      <c r="H33" s="3">
        <f t="shared" si="18"/>
        <v>42025</v>
      </c>
      <c r="I33" s="18"/>
      <c r="J33" s="1"/>
      <c r="K33" s="1"/>
      <c r="L33" s="1">
        <v>27438</v>
      </c>
      <c r="M33" s="1">
        <f>5052+14298</f>
        <v>19350</v>
      </c>
      <c r="N33" s="1">
        <v>1116</v>
      </c>
      <c r="O33" s="1">
        <f>339980+26922</f>
        <v>366902</v>
      </c>
      <c r="P33" s="3">
        <f t="shared" si="19"/>
        <v>414806</v>
      </c>
      <c r="Q33" s="18">
        <v>15767</v>
      </c>
      <c r="R33" s="4"/>
    </row>
    <row r="34" spans="1:18" x14ac:dyDescent="0.25">
      <c r="A34" s="2" t="s">
        <v>11</v>
      </c>
      <c r="B34" s="1">
        <f t="shared" ref="B34:G34" si="20">SUM(B31:B33)</f>
        <v>449815</v>
      </c>
      <c r="C34" s="1">
        <f t="shared" si="20"/>
        <v>6020</v>
      </c>
      <c r="D34" s="1">
        <f t="shared" si="20"/>
        <v>360799</v>
      </c>
      <c r="E34" s="1">
        <f t="shared" si="20"/>
        <v>90936</v>
      </c>
      <c r="F34" s="1">
        <f t="shared" si="20"/>
        <v>923010</v>
      </c>
      <c r="G34" s="1">
        <f t="shared" si="20"/>
        <v>9700</v>
      </c>
      <c r="H34" s="3">
        <f>SUM(H31:H33)</f>
        <v>1840280</v>
      </c>
      <c r="I34" s="18">
        <f t="shared" ref="I34:O34" si="21">SUM(I31:I33)</f>
        <v>293700</v>
      </c>
      <c r="J34" s="1">
        <f t="shared" si="21"/>
        <v>565010</v>
      </c>
      <c r="K34" s="1">
        <f t="shared" si="21"/>
        <v>115118</v>
      </c>
      <c r="L34" s="1">
        <f t="shared" si="21"/>
        <v>37648</v>
      </c>
      <c r="M34" s="1">
        <f t="shared" si="21"/>
        <v>19350</v>
      </c>
      <c r="N34" s="1">
        <f t="shared" si="21"/>
        <v>6265</v>
      </c>
      <c r="O34" s="1">
        <f t="shared" si="21"/>
        <v>690500</v>
      </c>
      <c r="P34" s="3">
        <f>SUM(P31:P33)</f>
        <v>1727591</v>
      </c>
      <c r="Q34" s="18">
        <f>H34-P34</f>
        <v>112689</v>
      </c>
      <c r="R34" s="4">
        <f>Q34/H34*100</f>
        <v>6.1234703414697762</v>
      </c>
    </row>
    <row r="35" spans="1:18" x14ac:dyDescent="0.25">
      <c r="A35" s="27" t="s">
        <v>19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3"/>
    </row>
    <row r="36" spans="1:18" x14ac:dyDescent="0.25">
      <c r="A36" s="2" t="s">
        <v>4</v>
      </c>
      <c r="B36" s="1"/>
      <c r="C36" s="1"/>
      <c r="D36" s="1"/>
      <c r="E36" s="1"/>
      <c r="F36" s="1">
        <v>1057307</v>
      </c>
      <c r="G36" s="1"/>
      <c r="H36" s="3">
        <f t="shared" ref="H36:H38" si="22">SUM(B36:G36)</f>
        <v>1057307</v>
      </c>
      <c r="I36" s="18"/>
      <c r="J36" s="1"/>
      <c r="K36" s="1"/>
      <c r="L36" s="1"/>
      <c r="M36" s="1"/>
      <c r="N36" s="1"/>
      <c r="O36" s="1"/>
      <c r="P36" s="3">
        <f>SUM(I36:O36)</f>
        <v>0</v>
      </c>
      <c r="Q36" s="18">
        <f>F36-(I37+J37)</f>
        <v>74698</v>
      </c>
      <c r="R36" s="4"/>
    </row>
    <row r="37" spans="1:18" x14ac:dyDescent="0.25">
      <c r="A37" s="2" t="s">
        <v>5</v>
      </c>
      <c r="B37" s="1">
        <f>58999+464579</f>
        <v>523578</v>
      </c>
      <c r="C37" s="1">
        <v>13060</v>
      </c>
      <c r="D37" s="1">
        <v>265860</v>
      </c>
      <c r="E37" s="1">
        <v>97926</v>
      </c>
      <c r="F37" s="1"/>
      <c r="G37" s="1">
        <v>8688</v>
      </c>
      <c r="H37" s="3">
        <f t="shared" si="22"/>
        <v>909112</v>
      </c>
      <c r="I37" s="18">
        <v>346600</v>
      </c>
      <c r="J37" s="1">
        <v>636009</v>
      </c>
      <c r="K37" s="1">
        <v>132182</v>
      </c>
      <c r="L37" s="1">
        <v>10480</v>
      </c>
      <c r="M37" s="1"/>
      <c r="N37" s="1">
        <v>5007</v>
      </c>
      <c r="O37" s="1">
        <v>376515</v>
      </c>
      <c r="P37" s="3">
        <f t="shared" ref="P37:P38" si="23">SUM(I37:O37)</f>
        <v>1506793</v>
      </c>
      <c r="Q37" s="18">
        <f>Q39-(Q36+Q38)</f>
        <v>46384</v>
      </c>
      <c r="R37" s="4"/>
    </row>
    <row r="38" spans="1:18" x14ac:dyDescent="0.25">
      <c r="A38" s="2" t="s">
        <v>6</v>
      </c>
      <c r="B38" s="1"/>
      <c r="C38" s="1"/>
      <c r="D38" s="1">
        <v>23935</v>
      </c>
      <c r="E38" s="1"/>
      <c r="F38" s="1"/>
      <c r="G38" s="1"/>
      <c r="H38" s="3">
        <f t="shared" si="22"/>
        <v>23935</v>
      </c>
      <c r="I38" s="18"/>
      <c r="J38" s="1"/>
      <c r="K38" s="1"/>
      <c r="L38" s="1">
        <v>27270</v>
      </c>
      <c r="M38" s="1">
        <f>14173+5987</f>
        <v>20160</v>
      </c>
      <c r="N38" s="1">
        <v>1492</v>
      </c>
      <c r="O38" s="1">
        <f>29749+274528</f>
        <v>304277</v>
      </c>
      <c r="P38" s="3">
        <f t="shared" si="23"/>
        <v>353199</v>
      </c>
      <c r="Q38" s="18">
        <v>9280</v>
      </c>
      <c r="R38" s="4"/>
    </row>
    <row r="39" spans="1:18" x14ac:dyDescent="0.25">
      <c r="A39" s="2" t="s">
        <v>11</v>
      </c>
      <c r="B39" s="1">
        <f t="shared" ref="B39:G39" si="24">SUM(B36:B38)</f>
        <v>523578</v>
      </c>
      <c r="C39" s="1">
        <f t="shared" si="24"/>
        <v>13060</v>
      </c>
      <c r="D39" s="1">
        <f t="shared" si="24"/>
        <v>289795</v>
      </c>
      <c r="E39" s="1">
        <f t="shared" si="24"/>
        <v>97926</v>
      </c>
      <c r="F39" s="1">
        <f t="shared" si="24"/>
        <v>1057307</v>
      </c>
      <c r="G39" s="1">
        <f t="shared" si="24"/>
        <v>8688</v>
      </c>
      <c r="H39" s="3">
        <f>SUM(H36:H38)</f>
        <v>1990354</v>
      </c>
      <c r="I39" s="18">
        <f t="shared" ref="I39:O39" si="25">SUM(I36:I38)</f>
        <v>346600</v>
      </c>
      <c r="J39" s="1">
        <f t="shared" si="25"/>
        <v>636009</v>
      </c>
      <c r="K39" s="1">
        <f t="shared" si="25"/>
        <v>132182</v>
      </c>
      <c r="L39" s="1">
        <f t="shared" si="25"/>
        <v>37750</v>
      </c>
      <c r="M39" s="1">
        <f t="shared" si="25"/>
        <v>20160</v>
      </c>
      <c r="N39" s="1">
        <f t="shared" si="25"/>
        <v>6499</v>
      </c>
      <c r="O39" s="1">
        <f t="shared" si="25"/>
        <v>680792</v>
      </c>
      <c r="P39" s="3">
        <f>SUM(P36:P38)</f>
        <v>1859992</v>
      </c>
      <c r="Q39" s="18">
        <f>H39-P39</f>
        <v>130362</v>
      </c>
      <c r="R39" s="4">
        <f>Q39/H39*100</f>
        <v>6.5496891507741832</v>
      </c>
    </row>
    <row r="40" spans="1:18" x14ac:dyDescent="0.25">
      <c r="A40" s="27" t="s">
        <v>20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"/>
    </row>
    <row r="41" spans="1:18" x14ac:dyDescent="0.25">
      <c r="A41" s="2" t="s">
        <v>4</v>
      </c>
      <c r="B41" s="1"/>
      <c r="C41" s="1"/>
      <c r="D41" s="1"/>
      <c r="E41" s="1"/>
      <c r="F41" s="1">
        <v>1062592</v>
      </c>
      <c r="G41" s="1"/>
      <c r="H41" s="3">
        <f t="shared" ref="H41:H43" si="26">SUM(B41:G41)</f>
        <v>1062592</v>
      </c>
      <c r="I41" s="18"/>
      <c r="J41" s="1"/>
      <c r="K41" s="1"/>
      <c r="L41" s="1"/>
      <c r="M41" s="1"/>
      <c r="N41" s="1"/>
      <c r="O41" s="1"/>
      <c r="P41" s="3">
        <f>SUM(I41:O41)</f>
        <v>0</v>
      </c>
      <c r="Q41" s="18">
        <f>F41-(I42+J42)</f>
        <v>71353</v>
      </c>
      <c r="R41" s="3"/>
    </row>
    <row r="42" spans="1:18" x14ac:dyDescent="0.25">
      <c r="A42" s="2" t="s">
        <v>5</v>
      </c>
      <c r="B42" s="1">
        <f>407541+63272</f>
        <v>470813</v>
      </c>
      <c r="C42" s="1">
        <v>12580</v>
      </c>
      <c r="D42" s="1">
        <v>265847</v>
      </c>
      <c r="E42" s="1">
        <v>101715</v>
      </c>
      <c r="F42" s="1"/>
      <c r="G42" s="1">
        <v>9400</v>
      </c>
      <c r="H42" s="3">
        <f t="shared" si="26"/>
        <v>860355</v>
      </c>
      <c r="I42" s="18">
        <v>372750</v>
      </c>
      <c r="J42" s="1">
        <v>618489</v>
      </c>
      <c r="K42" s="1">
        <v>129050</v>
      </c>
      <c r="L42" s="1">
        <v>11580</v>
      </c>
      <c r="M42" s="1"/>
      <c r="N42" s="1">
        <v>4052</v>
      </c>
      <c r="O42" s="1">
        <v>336644</v>
      </c>
      <c r="P42" s="3">
        <f t="shared" ref="P42:P43" si="27">SUM(I42:O42)</f>
        <v>1472565</v>
      </c>
      <c r="Q42" s="18">
        <f>Q44-(Q41+Q43)</f>
        <v>31548</v>
      </c>
      <c r="R42" s="3"/>
    </row>
    <row r="43" spans="1:18" x14ac:dyDescent="0.25">
      <c r="A43" s="2" t="s">
        <v>6</v>
      </c>
      <c r="B43" s="1"/>
      <c r="C43" s="1"/>
      <c r="D43" s="1">
        <v>30468</v>
      </c>
      <c r="E43" s="1"/>
      <c r="F43" s="1"/>
      <c r="G43" s="1"/>
      <c r="H43" s="3">
        <f t="shared" si="26"/>
        <v>30468</v>
      </c>
      <c r="I43" s="18"/>
      <c r="J43" s="1"/>
      <c r="K43" s="1"/>
      <c r="L43" s="1">
        <v>29411</v>
      </c>
      <c r="M43" s="1">
        <f>17706+3186</f>
        <v>20892</v>
      </c>
      <c r="N43" s="1">
        <v>1332</v>
      </c>
      <c r="O43" s="1">
        <f>33185+281736</f>
        <v>314921</v>
      </c>
      <c r="P43" s="3">
        <f t="shared" si="27"/>
        <v>366556</v>
      </c>
      <c r="Q43" s="18">
        <v>11393</v>
      </c>
      <c r="R43" s="4"/>
    </row>
    <row r="44" spans="1:18" x14ac:dyDescent="0.25">
      <c r="A44" s="2" t="s">
        <v>11</v>
      </c>
      <c r="B44" s="1">
        <f t="shared" ref="B44:G44" si="28">SUM(B41:B43)</f>
        <v>470813</v>
      </c>
      <c r="C44" s="1">
        <f t="shared" si="28"/>
        <v>12580</v>
      </c>
      <c r="D44" s="1">
        <f t="shared" si="28"/>
        <v>296315</v>
      </c>
      <c r="E44" s="1">
        <f t="shared" si="28"/>
        <v>101715</v>
      </c>
      <c r="F44" s="1">
        <f t="shared" si="28"/>
        <v>1062592</v>
      </c>
      <c r="G44" s="1">
        <f t="shared" si="28"/>
        <v>9400</v>
      </c>
      <c r="H44" s="3">
        <f>SUM(H41:H43)</f>
        <v>1953415</v>
      </c>
      <c r="I44" s="18">
        <f t="shared" ref="I44:O44" si="29">SUM(I41:I43)</f>
        <v>372750</v>
      </c>
      <c r="J44" s="1">
        <f t="shared" si="29"/>
        <v>618489</v>
      </c>
      <c r="K44" s="1">
        <f t="shared" si="29"/>
        <v>129050</v>
      </c>
      <c r="L44" s="1">
        <f t="shared" si="29"/>
        <v>40991</v>
      </c>
      <c r="M44" s="1">
        <f t="shared" si="29"/>
        <v>20892</v>
      </c>
      <c r="N44" s="1">
        <f t="shared" si="29"/>
        <v>5384</v>
      </c>
      <c r="O44" s="1">
        <f t="shared" si="29"/>
        <v>651565</v>
      </c>
      <c r="P44" s="3">
        <f>SUM(P41:P43)</f>
        <v>1839121</v>
      </c>
      <c r="Q44" s="18">
        <f>H44-P44</f>
        <v>114294</v>
      </c>
      <c r="R44" s="4">
        <f>Q44/H44*100</f>
        <v>5.8509840458888664</v>
      </c>
    </row>
    <row r="45" spans="1:18" x14ac:dyDescent="0.25">
      <c r="A45" s="27" t="s">
        <v>21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  <c r="R45" s="3"/>
    </row>
    <row r="46" spans="1:18" x14ac:dyDescent="0.25">
      <c r="A46" s="2" t="s">
        <v>4</v>
      </c>
      <c r="B46" s="1"/>
      <c r="C46" s="1"/>
      <c r="D46" s="1"/>
      <c r="E46" s="1"/>
      <c r="F46" s="16">
        <v>1151485</v>
      </c>
      <c r="G46" s="1"/>
      <c r="H46" s="3">
        <f>SUM(B46:G46)</f>
        <v>1151485</v>
      </c>
      <c r="I46" s="18"/>
      <c r="J46" s="1"/>
      <c r="K46" s="1"/>
      <c r="L46" s="1"/>
      <c r="M46" s="1"/>
      <c r="N46" s="1"/>
      <c r="O46" s="1"/>
      <c r="P46" s="3">
        <f>SUM(I46:O46)</f>
        <v>0</v>
      </c>
      <c r="Q46" s="18">
        <f>F46-(I47+J47)</f>
        <v>72355</v>
      </c>
      <c r="R46" s="4"/>
    </row>
    <row r="47" spans="1:18" x14ac:dyDescent="0.25">
      <c r="A47" s="2" t="s">
        <v>5</v>
      </c>
      <c r="B47" s="1">
        <f>398268+62161</f>
        <v>460429</v>
      </c>
      <c r="C47" s="1">
        <v>17620</v>
      </c>
      <c r="D47" s="1">
        <v>409866</v>
      </c>
      <c r="E47" s="1">
        <v>106675</v>
      </c>
      <c r="F47" s="1"/>
      <c r="G47" s="1">
        <v>10586</v>
      </c>
      <c r="H47" s="3">
        <f t="shared" ref="H47:H48" si="30">SUM(B47:G47)</f>
        <v>1005176</v>
      </c>
      <c r="I47" s="18">
        <v>399500</v>
      </c>
      <c r="J47" s="1">
        <v>679630</v>
      </c>
      <c r="K47" s="1">
        <v>135082</v>
      </c>
      <c r="L47" s="1">
        <v>10660</v>
      </c>
      <c r="M47" s="1"/>
      <c r="N47" s="1">
        <v>6228</v>
      </c>
      <c r="O47" s="1">
        <v>315256</v>
      </c>
      <c r="P47" s="3">
        <f t="shared" ref="P47:P48" si="31">SUM(I47:O47)</f>
        <v>1546356</v>
      </c>
      <c r="Q47" s="18">
        <f>Q49-(Q46+Q48)</f>
        <v>37216</v>
      </c>
      <c r="R47" s="4"/>
    </row>
    <row r="48" spans="1:18" x14ac:dyDescent="0.25">
      <c r="A48" s="2" t="s">
        <v>6</v>
      </c>
      <c r="B48" s="1"/>
      <c r="C48" s="1"/>
      <c r="D48" s="1">
        <v>58569</v>
      </c>
      <c r="E48" s="1"/>
      <c r="F48" s="1"/>
      <c r="G48" s="1"/>
      <c r="H48" s="3">
        <f t="shared" si="30"/>
        <v>58569</v>
      </c>
      <c r="I48" s="18"/>
      <c r="J48" s="1"/>
      <c r="K48" s="1"/>
      <c r="L48" s="1">
        <v>33289</v>
      </c>
      <c r="M48" s="1">
        <f>16018+7664</f>
        <v>23682</v>
      </c>
      <c r="N48" s="1">
        <v>1684</v>
      </c>
      <c r="O48" s="1">
        <f>39877+442388</f>
        <v>482265</v>
      </c>
      <c r="P48" s="3">
        <f t="shared" si="31"/>
        <v>540920</v>
      </c>
      <c r="Q48" s="18">
        <v>18383</v>
      </c>
      <c r="R48" s="4"/>
    </row>
    <row r="49" spans="1:18" x14ac:dyDescent="0.25">
      <c r="A49" s="2" t="s">
        <v>11</v>
      </c>
      <c r="B49" s="1">
        <f t="shared" ref="B49:G49" si="32">SUM(B46:B48)</f>
        <v>460429</v>
      </c>
      <c r="C49" s="1">
        <f t="shared" si="32"/>
        <v>17620</v>
      </c>
      <c r="D49" s="1">
        <f t="shared" si="32"/>
        <v>468435</v>
      </c>
      <c r="E49" s="1">
        <f t="shared" si="32"/>
        <v>106675</v>
      </c>
      <c r="F49" s="1">
        <f t="shared" si="32"/>
        <v>1151485</v>
      </c>
      <c r="G49" s="1">
        <f t="shared" si="32"/>
        <v>10586</v>
      </c>
      <c r="H49" s="3">
        <f>SUM(H46:H48)</f>
        <v>2215230</v>
      </c>
      <c r="I49" s="18">
        <f t="shared" ref="I49:O49" si="33">SUM(I46:I48)</f>
        <v>399500</v>
      </c>
      <c r="J49" s="1">
        <f t="shared" si="33"/>
        <v>679630</v>
      </c>
      <c r="K49" s="1">
        <f t="shared" si="33"/>
        <v>135082</v>
      </c>
      <c r="L49" s="1">
        <f t="shared" si="33"/>
        <v>43949</v>
      </c>
      <c r="M49" s="1">
        <f t="shared" si="33"/>
        <v>23682</v>
      </c>
      <c r="N49" s="1">
        <f t="shared" si="33"/>
        <v>7912</v>
      </c>
      <c r="O49" s="1">
        <f t="shared" si="33"/>
        <v>797521</v>
      </c>
      <c r="P49" s="3">
        <f>SUM(P46:P48)</f>
        <v>2087276</v>
      </c>
      <c r="Q49" s="18">
        <f>H49-P49</f>
        <v>127954</v>
      </c>
      <c r="R49" s="4">
        <f>Q49/H49*100</f>
        <v>5.7761045128496811</v>
      </c>
    </row>
    <row r="50" spans="1:18" x14ac:dyDescent="0.25">
      <c r="A50" s="27" t="s">
        <v>22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  <c r="R50" s="3"/>
    </row>
    <row r="51" spans="1:18" x14ac:dyDescent="0.25">
      <c r="A51" s="2" t="s">
        <v>4</v>
      </c>
      <c r="B51" s="1"/>
      <c r="C51" s="1"/>
      <c r="D51" s="1"/>
      <c r="E51" s="1"/>
      <c r="F51" s="1">
        <v>1347550</v>
      </c>
      <c r="G51" s="1"/>
      <c r="H51" s="3">
        <f>SUM(B51:G51)</f>
        <v>1347550</v>
      </c>
      <c r="I51" s="18"/>
      <c r="J51" s="1"/>
      <c r="K51" s="1"/>
      <c r="L51" s="1"/>
      <c r="M51" s="1"/>
      <c r="N51" s="1"/>
      <c r="O51" s="1"/>
      <c r="P51" s="3">
        <f>SUM(I51:O51)</f>
        <v>0</v>
      </c>
      <c r="Q51" s="18">
        <f>F51-(I52+J52)</f>
        <v>83393</v>
      </c>
      <c r="R51" s="3"/>
    </row>
    <row r="52" spans="1:18" x14ac:dyDescent="0.25">
      <c r="A52" s="2" t="s">
        <v>5</v>
      </c>
      <c r="B52" s="1">
        <f>460965+78962</f>
        <v>539927</v>
      </c>
      <c r="C52" s="1">
        <v>24920</v>
      </c>
      <c r="D52" s="1">
        <v>492250</v>
      </c>
      <c r="E52" s="1">
        <v>119919</v>
      </c>
      <c r="F52" s="1"/>
      <c r="G52" s="1">
        <v>14134</v>
      </c>
      <c r="H52" s="3">
        <f t="shared" ref="H52:H53" si="34">SUM(B52:G52)</f>
        <v>1191150</v>
      </c>
      <c r="I52" s="18">
        <v>465550</v>
      </c>
      <c r="J52" s="1">
        <v>798607</v>
      </c>
      <c r="K52" s="1">
        <v>173508</v>
      </c>
      <c r="L52" s="1">
        <v>13380</v>
      </c>
      <c r="M52" s="1"/>
      <c r="N52" s="1">
        <v>7632</v>
      </c>
      <c r="O52" s="1">
        <v>352416</v>
      </c>
      <c r="P52" s="3">
        <f t="shared" ref="P52:P53" si="35">SUM(I52:O52)</f>
        <v>1811093</v>
      </c>
      <c r="Q52" s="18">
        <f>Q54-(Q51+Q53)</f>
        <v>44916</v>
      </c>
      <c r="R52" s="3"/>
    </row>
    <row r="53" spans="1:18" x14ac:dyDescent="0.25">
      <c r="A53" s="2" t="s">
        <v>6</v>
      </c>
      <c r="B53" s="1"/>
      <c r="C53" s="1"/>
      <c r="D53" s="1">
        <v>68703</v>
      </c>
      <c r="E53" s="1"/>
      <c r="F53" s="1"/>
      <c r="G53" s="1"/>
      <c r="H53" s="3">
        <f t="shared" si="34"/>
        <v>68703</v>
      </c>
      <c r="I53" s="18"/>
      <c r="J53" s="1"/>
      <c r="K53" s="1"/>
      <c r="L53" s="1">
        <v>37092</v>
      </c>
      <c r="M53" s="1">
        <f>19970+8867</f>
        <v>28837</v>
      </c>
      <c r="N53" s="1">
        <v>2492</v>
      </c>
      <c r="O53" s="1">
        <f>47494+525913</f>
        <v>573407</v>
      </c>
      <c r="P53" s="3">
        <f t="shared" si="35"/>
        <v>641828</v>
      </c>
      <c r="Q53" s="18">
        <v>26173</v>
      </c>
      <c r="R53" s="4"/>
    </row>
    <row r="54" spans="1:18" x14ac:dyDescent="0.25">
      <c r="A54" s="2" t="s">
        <v>11</v>
      </c>
      <c r="B54" s="1">
        <f t="shared" ref="B54:G54" si="36">SUM(B51:B53)</f>
        <v>539927</v>
      </c>
      <c r="C54" s="1">
        <f t="shared" si="36"/>
        <v>24920</v>
      </c>
      <c r="D54" s="1">
        <f t="shared" si="36"/>
        <v>560953</v>
      </c>
      <c r="E54" s="1">
        <f t="shared" si="36"/>
        <v>119919</v>
      </c>
      <c r="F54" s="1">
        <f t="shared" si="36"/>
        <v>1347550</v>
      </c>
      <c r="G54" s="1">
        <f t="shared" si="36"/>
        <v>14134</v>
      </c>
      <c r="H54" s="3">
        <f>SUM(H51:H53)</f>
        <v>2607403</v>
      </c>
      <c r="I54" s="18">
        <f t="shared" ref="I54:O54" si="37">SUM(I51:I53)</f>
        <v>465550</v>
      </c>
      <c r="J54" s="1">
        <f t="shared" si="37"/>
        <v>798607</v>
      </c>
      <c r="K54" s="1">
        <f t="shared" si="37"/>
        <v>173508</v>
      </c>
      <c r="L54" s="1">
        <f t="shared" si="37"/>
        <v>50472</v>
      </c>
      <c r="M54" s="1">
        <f t="shared" si="37"/>
        <v>28837</v>
      </c>
      <c r="N54" s="1">
        <f t="shared" si="37"/>
        <v>10124</v>
      </c>
      <c r="O54" s="1">
        <f t="shared" si="37"/>
        <v>925823</v>
      </c>
      <c r="P54" s="3">
        <f>SUM(P51:P53)</f>
        <v>2452921</v>
      </c>
      <c r="Q54" s="18">
        <f>H54-P54</f>
        <v>154482</v>
      </c>
      <c r="R54" s="4">
        <f>Q54/H54*100</f>
        <v>5.9247458102947643</v>
      </c>
    </row>
    <row r="55" spans="1:18" x14ac:dyDescent="0.25">
      <c r="A55" s="27" t="s">
        <v>23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9"/>
      <c r="R55" s="3"/>
    </row>
    <row r="56" spans="1:18" x14ac:dyDescent="0.25">
      <c r="A56" s="2" t="s">
        <v>4</v>
      </c>
      <c r="B56" s="1"/>
      <c r="C56" s="1"/>
      <c r="D56" s="1"/>
      <c r="E56" s="1"/>
      <c r="F56" s="1">
        <v>1551855</v>
      </c>
      <c r="G56" s="1"/>
      <c r="H56" s="3">
        <f>SUM(B56:G56)</f>
        <v>1551855</v>
      </c>
      <c r="I56" s="18"/>
      <c r="J56" s="1"/>
      <c r="K56" s="1"/>
      <c r="L56" s="1"/>
      <c r="M56" s="1"/>
      <c r="N56" s="1"/>
      <c r="O56" s="1"/>
      <c r="P56" s="3">
        <f t="shared" ref="P56:P58" si="38">SUM(I56:O56)</f>
        <v>0</v>
      </c>
      <c r="Q56" s="18">
        <f>F56-(I57+J57)</f>
        <v>96479</v>
      </c>
      <c r="R56" s="4"/>
    </row>
    <row r="57" spans="1:18" x14ac:dyDescent="0.25">
      <c r="A57" s="2" t="s">
        <v>5</v>
      </c>
      <c r="B57" s="1">
        <f>79216+482629+3709</f>
        <v>565554</v>
      </c>
      <c r="C57" s="1">
        <v>27120</v>
      </c>
      <c r="D57" s="1">
        <v>494674</v>
      </c>
      <c r="E57" s="1">
        <v>125497</v>
      </c>
      <c r="F57" s="1"/>
      <c r="G57" s="1">
        <v>17840</v>
      </c>
      <c r="H57" s="3">
        <f t="shared" ref="H57:H58" si="39">SUM(B57:G57)</f>
        <v>1230685</v>
      </c>
      <c r="I57" s="18">
        <v>573300</v>
      </c>
      <c r="J57" s="1">
        <v>882076</v>
      </c>
      <c r="K57" s="1">
        <v>182383</v>
      </c>
      <c r="L57" s="1">
        <v>15200</v>
      </c>
      <c r="M57" s="1"/>
      <c r="N57" s="1">
        <v>8137</v>
      </c>
      <c r="O57" s="1">
        <v>377468</v>
      </c>
      <c r="P57" s="3">
        <f t="shared" si="38"/>
        <v>2038564</v>
      </c>
      <c r="Q57" s="18">
        <f>Q59-(Q56+Q58)</f>
        <v>44723</v>
      </c>
      <c r="R57" s="4"/>
    </row>
    <row r="58" spans="1:18" x14ac:dyDescent="0.25">
      <c r="A58" s="2" t="s">
        <v>6</v>
      </c>
      <c r="B58" s="1"/>
      <c r="C58" s="1"/>
      <c r="D58" s="1">
        <v>66865</v>
      </c>
      <c r="E58" s="1"/>
      <c r="F58" s="1"/>
      <c r="G58" s="1"/>
      <c r="H58" s="3">
        <f t="shared" si="39"/>
        <v>66865</v>
      </c>
      <c r="I58" s="18"/>
      <c r="J58" s="1"/>
      <c r="K58" s="1"/>
      <c r="L58" s="1">
        <v>35277</v>
      </c>
      <c r="M58" s="1">
        <f>17654+12690</f>
        <v>30344</v>
      </c>
      <c r="N58" s="1">
        <v>2970</v>
      </c>
      <c r="O58" s="1">
        <f>52199+513317</f>
        <v>565516</v>
      </c>
      <c r="P58" s="3">
        <f t="shared" si="38"/>
        <v>634107</v>
      </c>
      <c r="Q58" s="18">
        <v>35532</v>
      </c>
      <c r="R58" s="4"/>
    </row>
    <row r="59" spans="1:18" x14ac:dyDescent="0.25">
      <c r="A59" s="2" t="s">
        <v>11</v>
      </c>
      <c r="B59" s="1">
        <f t="shared" ref="B59" si="40">SUM(B56:B58)</f>
        <v>565554</v>
      </c>
      <c r="C59" s="1">
        <f t="shared" ref="C59" si="41">SUM(C56:C58)</f>
        <v>27120</v>
      </c>
      <c r="D59" s="1">
        <f t="shared" ref="D59" si="42">SUM(D56:D58)</f>
        <v>561539</v>
      </c>
      <c r="E59" s="1">
        <f t="shared" ref="E59:G59" si="43">SUM(E56:E58)</f>
        <v>125497</v>
      </c>
      <c r="F59" s="1">
        <f t="shared" si="43"/>
        <v>1551855</v>
      </c>
      <c r="G59" s="1">
        <f t="shared" si="43"/>
        <v>17840</v>
      </c>
      <c r="H59" s="3">
        <f>SUM(H56:H58)</f>
        <v>2849405</v>
      </c>
      <c r="I59" s="18">
        <f t="shared" ref="I59:O59" si="44">SUM(I56:I58)</f>
        <v>573300</v>
      </c>
      <c r="J59" s="1">
        <f t="shared" si="44"/>
        <v>882076</v>
      </c>
      <c r="K59" s="1">
        <f t="shared" si="44"/>
        <v>182383</v>
      </c>
      <c r="L59" s="1">
        <f t="shared" si="44"/>
        <v>50477</v>
      </c>
      <c r="M59" s="1">
        <f t="shared" si="44"/>
        <v>30344</v>
      </c>
      <c r="N59" s="1">
        <f t="shared" si="44"/>
        <v>11107</v>
      </c>
      <c r="O59" s="1">
        <f t="shared" si="44"/>
        <v>942984</v>
      </c>
      <c r="P59" s="3">
        <f>SUM(P56:P58)</f>
        <v>2672671</v>
      </c>
      <c r="Q59" s="18">
        <f>H59-P59</f>
        <v>176734</v>
      </c>
      <c r="R59" s="4">
        <f>Q59/H59*100</f>
        <v>6.2024878878221941</v>
      </c>
    </row>
    <row r="60" spans="1:18" x14ac:dyDescent="0.25">
      <c r="A60" s="27" t="s">
        <v>24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  <c r="R60" s="3"/>
    </row>
    <row r="61" spans="1:18" x14ac:dyDescent="0.25">
      <c r="A61" s="2" t="s">
        <v>4</v>
      </c>
      <c r="B61" s="1"/>
      <c r="C61" s="1"/>
      <c r="D61" s="1"/>
      <c r="E61" s="1"/>
      <c r="F61" s="1">
        <v>1712462</v>
      </c>
      <c r="G61" s="1"/>
      <c r="H61" s="3">
        <f>SUM(B61:G61)</f>
        <v>1712462</v>
      </c>
      <c r="I61" s="18"/>
      <c r="J61" s="1"/>
      <c r="K61" s="1"/>
      <c r="L61" s="1"/>
      <c r="M61" s="1"/>
      <c r="N61" s="1"/>
      <c r="O61" s="1"/>
      <c r="P61" s="3">
        <f t="shared" ref="P61:P63" si="45">SUM(I61:O61)</f>
        <v>0</v>
      </c>
      <c r="Q61" s="18">
        <f>F61-(I62+J62)</f>
        <v>100729</v>
      </c>
      <c r="R61" s="3"/>
    </row>
    <row r="62" spans="1:18" x14ac:dyDescent="0.25">
      <c r="A62" s="2" t="s">
        <v>5</v>
      </c>
      <c r="B62" s="1">
        <f>504018+83464</f>
        <v>587482</v>
      </c>
      <c r="C62" s="1">
        <v>25620</v>
      </c>
      <c r="D62" s="1">
        <v>561593</v>
      </c>
      <c r="E62" s="1">
        <v>122385</v>
      </c>
      <c r="F62" s="1"/>
      <c r="G62" s="1">
        <v>16678</v>
      </c>
      <c r="H62" s="3">
        <f t="shared" ref="H62:H63" si="46">SUM(B62:G62)</f>
        <v>1313758</v>
      </c>
      <c r="I62" s="18">
        <v>644150</v>
      </c>
      <c r="J62" s="1">
        <v>967583</v>
      </c>
      <c r="K62" s="1">
        <v>174362</v>
      </c>
      <c r="L62" s="1">
        <v>17050</v>
      </c>
      <c r="M62" s="1"/>
      <c r="N62" s="1">
        <v>8843</v>
      </c>
      <c r="O62" s="1">
        <f>395076</f>
        <v>395076</v>
      </c>
      <c r="P62" s="3">
        <f t="shared" si="45"/>
        <v>2207064</v>
      </c>
      <c r="Q62" s="18">
        <f>Q64-(Q61+Q63)</f>
        <v>45518</v>
      </c>
      <c r="R62" s="3"/>
    </row>
    <row r="63" spans="1:18" x14ac:dyDescent="0.25">
      <c r="A63" s="2" t="s">
        <v>6</v>
      </c>
      <c r="B63" s="1"/>
      <c r="C63" s="1"/>
      <c r="D63" s="1">
        <v>77069</v>
      </c>
      <c r="E63" s="1"/>
      <c r="F63" s="1"/>
      <c r="G63" s="1"/>
      <c r="H63" s="3">
        <f t="shared" si="46"/>
        <v>77069</v>
      </c>
      <c r="I63" s="18"/>
      <c r="J63" s="1"/>
      <c r="K63" s="1"/>
      <c r="L63" s="1">
        <v>36297</v>
      </c>
      <c r="M63" s="1">
        <f>19708+18818</f>
        <v>38526</v>
      </c>
      <c r="N63" s="1">
        <v>3552</v>
      </c>
      <c r="O63" s="1">
        <f>51759+589033</f>
        <v>640792</v>
      </c>
      <c r="P63" s="3">
        <f t="shared" si="45"/>
        <v>719167</v>
      </c>
      <c r="Q63" s="18">
        <v>30811</v>
      </c>
      <c r="R63" s="4"/>
    </row>
    <row r="64" spans="1:18" x14ac:dyDescent="0.25">
      <c r="A64" s="2" t="s">
        <v>11</v>
      </c>
      <c r="B64" s="1">
        <f t="shared" ref="B64" si="47">SUM(B61:B63)</f>
        <v>587482</v>
      </c>
      <c r="C64" s="1">
        <f t="shared" ref="C64:G64" si="48">SUM(C61:C63)</f>
        <v>25620</v>
      </c>
      <c r="D64" s="1">
        <f t="shared" si="48"/>
        <v>638662</v>
      </c>
      <c r="E64" s="1">
        <f t="shared" si="48"/>
        <v>122385</v>
      </c>
      <c r="F64" s="1">
        <f t="shared" si="48"/>
        <v>1712462</v>
      </c>
      <c r="G64" s="1">
        <f t="shared" si="48"/>
        <v>16678</v>
      </c>
      <c r="H64" s="3">
        <f>SUM(H61:H63)</f>
        <v>3103289</v>
      </c>
      <c r="I64" s="18">
        <f t="shared" ref="I64:O64" si="49">SUM(I61:I63)</f>
        <v>644150</v>
      </c>
      <c r="J64" s="1">
        <f t="shared" si="49"/>
        <v>967583</v>
      </c>
      <c r="K64" s="1">
        <f t="shared" si="49"/>
        <v>174362</v>
      </c>
      <c r="L64" s="1">
        <f t="shared" si="49"/>
        <v>53347</v>
      </c>
      <c r="M64" s="1">
        <f t="shared" si="49"/>
        <v>38526</v>
      </c>
      <c r="N64" s="1">
        <f t="shared" si="49"/>
        <v>12395</v>
      </c>
      <c r="O64" s="1">
        <f t="shared" si="49"/>
        <v>1035868</v>
      </c>
      <c r="P64" s="3">
        <f>SUM(P61:P63)</f>
        <v>2926231</v>
      </c>
      <c r="Q64" s="18">
        <f>H64-P64</f>
        <v>177058</v>
      </c>
      <c r="R64" s="4">
        <f>Q64/H64*100</f>
        <v>5.7054950409065999</v>
      </c>
    </row>
    <row r="65" spans="1:19" x14ac:dyDescent="0.25">
      <c r="A65" s="27" t="s">
        <v>25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/>
      <c r="R65" s="3"/>
    </row>
    <row r="66" spans="1:19" x14ac:dyDescent="0.25">
      <c r="A66" s="2" t="s">
        <v>4</v>
      </c>
      <c r="B66" s="1">
        <f>B6+B11+B16+B21+B26+B31</f>
        <v>0</v>
      </c>
      <c r="C66" s="1">
        <f t="shared" ref="C66:G66" si="50">C6+C11+C16+C21+C26+C31</f>
        <v>0</v>
      </c>
      <c r="D66" s="1">
        <f t="shared" si="50"/>
        <v>0</v>
      </c>
      <c r="E66" s="1">
        <f t="shared" si="50"/>
        <v>0</v>
      </c>
      <c r="F66" s="1">
        <f t="shared" si="50"/>
        <v>8369987</v>
      </c>
      <c r="G66" s="1">
        <f t="shared" si="50"/>
        <v>0</v>
      </c>
      <c r="H66" s="3">
        <f>SUM(B66:G66)</f>
        <v>8369987</v>
      </c>
      <c r="I66" s="18">
        <f>I6+I11+I16+I21+I26+I31</f>
        <v>0</v>
      </c>
      <c r="J66" s="1">
        <f t="shared" ref="J66:K66" si="51">J6+J11+J16+J21+J26+J31</f>
        <v>0</v>
      </c>
      <c r="K66" s="1">
        <f t="shared" si="51"/>
        <v>0</v>
      </c>
      <c r="L66" s="1">
        <f>L11+L16+L21+L26+L31</f>
        <v>0</v>
      </c>
      <c r="M66" s="1">
        <f t="shared" ref="M66" si="52">M11+M16+M21+M26+M31</f>
        <v>0</v>
      </c>
      <c r="N66" s="1">
        <f t="shared" ref="N66" si="53">N11+N16+N21+N26+N31</f>
        <v>0</v>
      </c>
      <c r="O66" s="1">
        <f t="shared" ref="O66" si="54">O11+O16+O21+O26+O31</f>
        <v>0</v>
      </c>
      <c r="P66" s="3">
        <f>SUM(I66:O66)</f>
        <v>0</v>
      </c>
      <c r="Q66" s="1">
        <f>Q11+Q16+Q21+Q26+Q31+Q6</f>
        <v>412617</v>
      </c>
      <c r="R66" s="3"/>
    </row>
    <row r="67" spans="1:19" x14ac:dyDescent="0.25">
      <c r="A67" s="2" t="s">
        <v>5</v>
      </c>
      <c r="B67" s="1">
        <f>B7+B12+B17+B22+B27+B32</f>
        <v>2945815</v>
      </c>
      <c r="C67" s="1">
        <f t="shared" ref="C67:F67" si="55">C7+C12+C17+C22+C27+C32</f>
        <v>49840</v>
      </c>
      <c r="D67" s="1">
        <f t="shared" si="55"/>
        <v>2572407</v>
      </c>
      <c r="E67" s="1">
        <f t="shared" si="55"/>
        <v>670312</v>
      </c>
      <c r="F67" s="1">
        <f t="shared" si="55"/>
        <v>0</v>
      </c>
      <c r="G67" s="1">
        <f t="shared" ref="G67" si="56">G7+G12+G17+G22+G27+G32</f>
        <v>84329</v>
      </c>
      <c r="H67" s="3">
        <f t="shared" ref="H67:H68" si="57">SUM(B67:G67)</f>
        <v>6322703</v>
      </c>
      <c r="I67" s="18">
        <f t="shared" ref="I67:N68" si="58">I7+I12+I17+I22+I27+I32</f>
        <v>3001750</v>
      </c>
      <c r="J67" s="1">
        <f t="shared" si="58"/>
        <v>4955620</v>
      </c>
      <c r="K67" s="1">
        <f t="shared" si="58"/>
        <v>925905</v>
      </c>
      <c r="L67" s="1">
        <f t="shared" si="58"/>
        <v>87400</v>
      </c>
      <c r="M67" s="1">
        <f t="shared" ref="M67" si="59">M7+M12+M17+M22+M27+M32</f>
        <v>0</v>
      </c>
      <c r="N67" s="1">
        <f t="shared" si="58"/>
        <v>45450</v>
      </c>
      <c r="O67" s="1">
        <f t="shared" ref="O67" si="60">O7+O12+O17+O22+O27+O32</f>
        <v>1858672</v>
      </c>
      <c r="P67" s="3">
        <f t="shared" ref="P67:P68" si="61">SUM(I67:O67)</f>
        <v>10874797</v>
      </c>
      <c r="Q67" s="1">
        <f>Q12+Q17+Q22+Q27+Q32+Q7</f>
        <v>253693</v>
      </c>
      <c r="R67" s="3"/>
    </row>
    <row r="68" spans="1:19" x14ac:dyDescent="0.25">
      <c r="A68" s="2" t="s">
        <v>6</v>
      </c>
      <c r="B68" s="1">
        <f t="shared" ref="B68:C68" si="62">B8+B13+B18+B23+B28+B33</f>
        <v>0</v>
      </c>
      <c r="C68" s="1">
        <f t="shared" si="62"/>
        <v>0</v>
      </c>
      <c r="D68" s="1">
        <f t="shared" ref="D68:E68" si="63">D8+D13+D18+D23+D28+D33</f>
        <v>357198</v>
      </c>
      <c r="E68" s="1">
        <f t="shared" si="63"/>
        <v>0</v>
      </c>
      <c r="F68" s="1">
        <f t="shared" ref="F68:G68" si="64">F8+F13+F18+F23+F28+F33</f>
        <v>0</v>
      </c>
      <c r="G68" s="1">
        <f t="shared" si="64"/>
        <v>0</v>
      </c>
      <c r="H68" s="3">
        <f t="shared" si="57"/>
        <v>357198</v>
      </c>
      <c r="I68" s="18">
        <f t="shared" si="58"/>
        <v>0</v>
      </c>
      <c r="J68" s="1">
        <f t="shared" si="58"/>
        <v>0</v>
      </c>
      <c r="K68" s="1">
        <f t="shared" si="58"/>
        <v>0</v>
      </c>
      <c r="L68" s="1">
        <f t="shared" si="58"/>
        <v>207859</v>
      </c>
      <c r="M68" s="1">
        <f t="shared" ref="M68" si="65">M8+M13+M18+M23+M28+M33</f>
        <v>218047</v>
      </c>
      <c r="N68" s="1">
        <f t="shared" si="58"/>
        <v>16998</v>
      </c>
      <c r="O68" s="1">
        <f t="shared" ref="O68" si="66">O8+O13+O18+O23+O28+O33</f>
        <v>2934159</v>
      </c>
      <c r="P68" s="3">
        <f t="shared" si="61"/>
        <v>3377063</v>
      </c>
      <c r="Q68" s="1">
        <f>Q13+Q18+Q23+Q28+Q33+Q8</f>
        <v>131718</v>
      </c>
      <c r="R68" s="4"/>
      <c r="S68">
        <f>Q66+Q67+Q68</f>
        <v>798028</v>
      </c>
    </row>
    <row r="69" spans="1:19" x14ac:dyDescent="0.25">
      <c r="A69" s="2" t="s">
        <v>11</v>
      </c>
      <c r="B69" s="1">
        <f>SUM(B66:B68)</f>
        <v>2945815</v>
      </c>
      <c r="C69" s="1">
        <f t="shared" ref="C69:E69" si="67">SUM(C66:C68)</f>
        <v>49840</v>
      </c>
      <c r="D69" s="1">
        <f t="shared" si="67"/>
        <v>2929605</v>
      </c>
      <c r="E69" s="1">
        <f t="shared" si="67"/>
        <v>670312</v>
      </c>
      <c r="F69" s="1">
        <f t="shared" ref="F69:G69" si="68">SUM(F66:F68)</f>
        <v>8369987</v>
      </c>
      <c r="G69" s="1">
        <f t="shared" si="68"/>
        <v>84329</v>
      </c>
      <c r="H69" s="3">
        <f>SUM(H66:H68)</f>
        <v>15049888</v>
      </c>
      <c r="I69" s="18">
        <f t="shared" ref="I69:N69" si="69">SUM(I66:I68)</f>
        <v>3001750</v>
      </c>
      <c r="J69" s="1">
        <f t="shared" si="69"/>
        <v>4955620</v>
      </c>
      <c r="K69" s="1">
        <f t="shared" si="69"/>
        <v>925905</v>
      </c>
      <c r="L69" s="1">
        <f t="shared" si="69"/>
        <v>295259</v>
      </c>
      <c r="M69" s="1">
        <f t="shared" ref="M69" si="70">SUM(M66:M68)</f>
        <v>218047</v>
      </c>
      <c r="N69" s="1">
        <f t="shared" si="69"/>
        <v>62448</v>
      </c>
      <c r="O69" s="1">
        <f t="shared" ref="O69" si="71">SUM(O66:O68)</f>
        <v>4792831</v>
      </c>
      <c r="P69" s="3">
        <f>SUM(P66:P68)</f>
        <v>14251860</v>
      </c>
      <c r="Q69" s="18">
        <f>H69-P69</f>
        <v>798028</v>
      </c>
      <c r="R69" s="4">
        <f>Q69/H69*100</f>
        <v>5.3025510887522884</v>
      </c>
    </row>
    <row r="70" spans="1:19" x14ac:dyDescent="0.25">
      <c r="A70" s="27" t="s">
        <v>26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9"/>
      <c r="R70" s="3"/>
    </row>
    <row r="71" spans="1:19" x14ac:dyDescent="0.25">
      <c r="A71" s="2" t="s">
        <v>4</v>
      </c>
      <c r="B71" s="1">
        <f>B36+B41+B46+B51+B56+B61</f>
        <v>0</v>
      </c>
      <c r="C71" s="1">
        <f t="shared" ref="C71:O73" si="72">C36+C41+C46+C51+C56+C61</f>
        <v>0</v>
      </c>
      <c r="D71" s="1">
        <f t="shared" si="72"/>
        <v>0</v>
      </c>
      <c r="E71" s="1">
        <f t="shared" si="72"/>
        <v>0</v>
      </c>
      <c r="F71" s="1">
        <f t="shared" si="72"/>
        <v>7883251</v>
      </c>
      <c r="G71" s="1">
        <f t="shared" si="72"/>
        <v>0</v>
      </c>
      <c r="H71" s="3">
        <f>SUM(B71:G71)</f>
        <v>7883251</v>
      </c>
      <c r="I71" s="18">
        <f t="shared" si="72"/>
        <v>0</v>
      </c>
      <c r="J71" s="1">
        <f t="shared" si="72"/>
        <v>0</v>
      </c>
      <c r="K71" s="1">
        <f t="shared" si="72"/>
        <v>0</v>
      </c>
      <c r="L71" s="1">
        <f t="shared" si="72"/>
        <v>0</v>
      </c>
      <c r="M71" s="1">
        <f t="shared" si="72"/>
        <v>0</v>
      </c>
      <c r="N71" s="1">
        <f t="shared" si="72"/>
        <v>0</v>
      </c>
      <c r="O71" s="1">
        <f t="shared" si="72"/>
        <v>0</v>
      </c>
      <c r="P71" s="3">
        <f>SUM(I71:O71)</f>
        <v>0</v>
      </c>
      <c r="Q71" s="18">
        <f>Q36+Q41+Q46+Q51+Q56+Q61</f>
        <v>499007</v>
      </c>
      <c r="R71" s="3"/>
    </row>
    <row r="72" spans="1:19" x14ac:dyDescent="0.25">
      <c r="A72" s="2" t="s">
        <v>5</v>
      </c>
      <c r="B72" s="1">
        <f>B37+B42+B47+B52+B57+B62</f>
        <v>3147783</v>
      </c>
      <c r="C72" s="1">
        <f t="shared" ref="C72:G72" si="73">C37+C42+C47+C52+C57+C62</f>
        <v>120920</v>
      </c>
      <c r="D72" s="1">
        <f t="shared" si="73"/>
        <v>2490090</v>
      </c>
      <c r="E72" s="1">
        <f t="shared" si="73"/>
        <v>674117</v>
      </c>
      <c r="F72" s="1">
        <f t="shared" si="73"/>
        <v>0</v>
      </c>
      <c r="G72" s="1">
        <f t="shared" si="73"/>
        <v>77326</v>
      </c>
      <c r="H72" s="3">
        <f t="shared" ref="H72:H73" si="74">SUM(B72:G72)</f>
        <v>6510236</v>
      </c>
      <c r="I72" s="18">
        <f t="shared" si="72"/>
        <v>2801850</v>
      </c>
      <c r="J72" s="1">
        <f t="shared" si="72"/>
        <v>4582394</v>
      </c>
      <c r="K72" s="1">
        <f t="shared" si="72"/>
        <v>926567</v>
      </c>
      <c r="L72" s="1">
        <f t="shared" si="72"/>
        <v>78350</v>
      </c>
      <c r="M72" s="1">
        <f t="shared" si="72"/>
        <v>0</v>
      </c>
      <c r="N72" s="1">
        <f t="shared" si="72"/>
        <v>39899</v>
      </c>
      <c r="O72" s="1">
        <f t="shared" si="72"/>
        <v>2153375</v>
      </c>
      <c r="P72" s="3">
        <f t="shared" ref="P72:P73" si="75">SUM(I72:O72)</f>
        <v>10582435</v>
      </c>
      <c r="Q72" s="18">
        <f t="shared" ref="Q72:Q73" si="76">Q37+Q42+Q47+Q52+Q57+Q62</f>
        <v>250305</v>
      </c>
      <c r="R72" s="3"/>
    </row>
    <row r="73" spans="1:19" x14ac:dyDescent="0.25">
      <c r="A73" s="2" t="s">
        <v>6</v>
      </c>
      <c r="B73" s="1">
        <f>B38+B43+B48+B53+B58+B63</f>
        <v>0</v>
      </c>
      <c r="C73" s="1">
        <f t="shared" ref="C73:G73" si="77">C38+C43+C48+C53+C58+C63</f>
        <v>0</v>
      </c>
      <c r="D73" s="1">
        <f t="shared" si="77"/>
        <v>325609</v>
      </c>
      <c r="E73" s="1">
        <f t="shared" si="77"/>
        <v>0</v>
      </c>
      <c r="F73" s="1">
        <f t="shared" si="77"/>
        <v>0</v>
      </c>
      <c r="G73" s="1">
        <f t="shared" si="77"/>
        <v>0</v>
      </c>
      <c r="H73" s="3">
        <f t="shared" si="74"/>
        <v>325609</v>
      </c>
      <c r="I73" s="18">
        <f t="shared" si="72"/>
        <v>0</v>
      </c>
      <c r="J73" s="1">
        <f t="shared" si="72"/>
        <v>0</v>
      </c>
      <c r="K73" s="1">
        <f t="shared" si="72"/>
        <v>0</v>
      </c>
      <c r="L73" s="1">
        <f t="shared" si="72"/>
        <v>198636</v>
      </c>
      <c r="M73" s="1">
        <f t="shared" si="72"/>
        <v>162441</v>
      </c>
      <c r="N73" s="1">
        <f t="shared" si="72"/>
        <v>13522</v>
      </c>
      <c r="O73" s="1">
        <f t="shared" si="72"/>
        <v>2881178</v>
      </c>
      <c r="P73" s="3">
        <f t="shared" si="75"/>
        <v>3255777</v>
      </c>
      <c r="Q73" s="18">
        <f t="shared" si="76"/>
        <v>131572</v>
      </c>
      <c r="R73" s="4"/>
      <c r="S73">
        <f>Q71+Q72+Q73</f>
        <v>880884</v>
      </c>
    </row>
    <row r="74" spans="1:19" x14ac:dyDescent="0.25">
      <c r="A74" s="2" t="s">
        <v>11</v>
      </c>
      <c r="B74" s="1">
        <f>SUM(B71:B73)</f>
        <v>3147783</v>
      </c>
      <c r="C74" s="1">
        <f t="shared" ref="C74:G74" si="78">SUM(C71:C73)</f>
        <v>120920</v>
      </c>
      <c r="D74" s="1">
        <f t="shared" si="78"/>
        <v>2815699</v>
      </c>
      <c r="E74" s="1">
        <f t="shared" si="78"/>
        <v>674117</v>
      </c>
      <c r="F74" s="1">
        <f t="shared" si="78"/>
        <v>7883251</v>
      </c>
      <c r="G74" s="1">
        <f t="shared" si="78"/>
        <v>77326</v>
      </c>
      <c r="H74" s="3">
        <f>SUM(H71:H73)</f>
        <v>14719096</v>
      </c>
      <c r="I74" s="18">
        <f t="shared" ref="I74:O74" si="79">SUM(I71:I73)</f>
        <v>2801850</v>
      </c>
      <c r="J74" s="1">
        <f t="shared" si="79"/>
        <v>4582394</v>
      </c>
      <c r="K74" s="1">
        <f t="shared" si="79"/>
        <v>926567</v>
      </c>
      <c r="L74" s="1">
        <f t="shared" si="79"/>
        <v>276986</v>
      </c>
      <c r="M74" s="1">
        <f t="shared" si="79"/>
        <v>162441</v>
      </c>
      <c r="N74" s="1">
        <f t="shared" si="79"/>
        <v>53421</v>
      </c>
      <c r="O74" s="1">
        <f t="shared" si="79"/>
        <v>5034553</v>
      </c>
      <c r="P74" s="3">
        <f>SUM(P71:P73)</f>
        <v>13838212</v>
      </c>
      <c r="Q74" s="18">
        <f>H74-P74</f>
        <v>880884</v>
      </c>
      <c r="R74" s="4">
        <f>Q74/H74*100</f>
        <v>5.9846338389259772</v>
      </c>
    </row>
    <row r="75" spans="1:19" ht="15.75" thickBot="1" x14ac:dyDescent="0.3">
      <c r="A75" s="24" t="s">
        <v>38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  <c r="R75" s="8"/>
    </row>
    <row r="76" spans="1:19" x14ac:dyDescent="0.25">
      <c r="A76" s="9" t="s">
        <v>4</v>
      </c>
      <c r="B76" s="10">
        <f>B6+B11+B16+B21+B26+B31+B36+B41+B46+B51+B56+B61</f>
        <v>0</v>
      </c>
      <c r="C76" s="10">
        <f t="shared" ref="C76:G76" si="80">C6+C11+C16+C21+C26+C31+C36+C41+C46+C51+C56+C61</f>
        <v>0</v>
      </c>
      <c r="D76" s="10">
        <f t="shared" si="80"/>
        <v>0</v>
      </c>
      <c r="E76" s="10">
        <f t="shared" si="80"/>
        <v>0</v>
      </c>
      <c r="F76" s="10">
        <f t="shared" si="80"/>
        <v>16253238</v>
      </c>
      <c r="G76" s="10">
        <f t="shared" si="80"/>
        <v>0</v>
      </c>
      <c r="H76" s="11">
        <f>SUM(B76:G76)</f>
        <v>16253238</v>
      </c>
      <c r="I76" s="19">
        <f>I6+I11+I16+I21+I26+I31+I36+I41+I46+I51+I56+I61</f>
        <v>0</v>
      </c>
      <c r="J76" s="10">
        <f t="shared" ref="J76:K76" si="81">J6+J11+J16+J21+J26+J31+J36+J41+J46+J51+J56+J61</f>
        <v>0</v>
      </c>
      <c r="K76" s="10">
        <f t="shared" si="81"/>
        <v>0</v>
      </c>
      <c r="L76" s="10">
        <f>L11+L16+L21+L26+L31+L36+L41+L46+L51+L56+L61</f>
        <v>0</v>
      </c>
      <c r="M76" s="10">
        <f t="shared" ref="M76:O76" si="82">M11+M16+M21+M26+M31+M36+M41+M46+M51+M56+M61</f>
        <v>0</v>
      </c>
      <c r="N76" s="10">
        <f t="shared" si="82"/>
        <v>0</v>
      </c>
      <c r="O76" s="10">
        <f t="shared" si="82"/>
        <v>0</v>
      </c>
      <c r="P76" s="11">
        <f>SUM(I76:O76)</f>
        <v>0</v>
      </c>
      <c r="Q76" s="18">
        <f>Q6+Q11+Q16+Q21+Q26+Q36+Q41+Q46+Q51+Q56+Q61+Q31</f>
        <v>911624</v>
      </c>
      <c r="R76" s="11"/>
      <c r="S76">
        <f>Q66+Q71</f>
        <v>911624</v>
      </c>
    </row>
    <row r="77" spans="1:19" x14ac:dyDescent="0.25">
      <c r="A77" s="2" t="s">
        <v>5</v>
      </c>
      <c r="B77" s="1">
        <f>B7+B12+B17+B22+B27+B32+B37+B42+B47+B52+B57+B62</f>
        <v>6093598</v>
      </c>
      <c r="C77" s="1">
        <f t="shared" ref="C77:G77" si="83">C7+C12+C17+C22+C27+C32+C37+C42+C47+C52+C57+C62</f>
        <v>170760</v>
      </c>
      <c r="D77" s="1">
        <f t="shared" si="83"/>
        <v>5062497</v>
      </c>
      <c r="E77" s="1">
        <f t="shared" si="83"/>
        <v>1344429</v>
      </c>
      <c r="F77" s="1">
        <f t="shared" si="83"/>
        <v>0</v>
      </c>
      <c r="G77" s="1">
        <f t="shared" si="83"/>
        <v>161655</v>
      </c>
      <c r="H77" s="3">
        <f t="shared" ref="H77:H78" si="84">SUM(B77:G77)</f>
        <v>12832939</v>
      </c>
      <c r="I77" s="18">
        <f>I7+I12+I17+I22+I27+I32+I37+I42+I47+I52+I57+I62</f>
        <v>5803600</v>
      </c>
      <c r="J77" s="1">
        <f t="shared" ref="J77:O77" si="85">J7+J12+J17+J22+J27+J32+J37+J42+J47+J52+J57+J62</f>
        <v>9538014</v>
      </c>
      <c r="K77" s="1">
        <f t="shared" si="85"/>
        <v>1852472</v>
      </c>
      <c r="L77" s="1">
        <f t="shared" si="85"/>
        <v>165750</v>
      </c>
      <c r="M77" s="1">
        <f t="shared" si="85"/>
        <v>0</v>
      </c>
      <c r="N77" s="1">
        <f t="shared" si="85"/>
        <v>85349</v>
      </c>
      <c r="O77" s="1">
        <f t="shared" si="85"/>
        <v>4012047</v>
      </c>
      <c r="P77" s="3">
        <f t="shared" ref="P77:P78" si="86">SUM(I77:O77)</f>
        <v>21457232</v>
      </c>
      <c r="Q77" s="18">
        <f>Q7+Q12+Q17+Q22+Q27+Q32+Q37+Q47+Q52+Q57+Q62+Q42</f>
        <v>503998</v>
      </c>
      <c r="R77" s="3"/>
      <c r="S77">
        <f t="shared" ref="S77:S78" si="87">Q67+Q72</f>
        <v>503998</v>
      </c>
    </row>
    <row r="78" spans="1:19" x14ac:dyDescent="0.25">
      <c r="A78" s="2" t="s">
        <v>6</v>
      </c>
      <c r="B78" s="1">
        <f>B8+B13+B18+B23+B28+B33+B38+B43+B48+B53+B58+B63</f>
        <v>0</v>
      </c>
      <c r="C78" s="1">
        <f t="shared" ref="C78:G78" si="88">C8+C13+C18+C23+C28+C33+C38+C43+C48+C53+C58+C63</f>
        <v>0</v>
      </c>
      <c r="D78" s="1">
        <f t="shared" si="88"/>
        <v>682807</v>
      </c>
      <c r="E78" s="1">
        <f t="shared" si="88"/>
        <v>0</v>
      </c>
      <c r="F78" s="1">
        <f t="shared" si="88"/>
        <v>0</v>
      </c>
      <c r="G78" s="1">
        <f t="shared" si="88"/>
        <v>0</v>
      </c>
      <c r="H78" s="3">
        <f t="shared" si="84"/>
        <v>682807</v>
      </c>
      <c r="I78" s="18">
        <f>I8+I13+I18+I23+I28+I33+I38+I43+I48+I53+I58+I63</f>
        <v>0</v>
      </c>
      <c r="J78" s="1">
        <f t="shared" ref="J78:O78" si="89">J8+J13+J18+J23+J28+J33+J38+J43+J48+J53+J58+J63</f>
        <v>0</v>
      </c>
      <c r="K78" s="1">
        <f t="shared" si="89"/>
        <v>0</v>
      </c>
      <c r="L78" s="1">
        <f t="shared" si="89"/>
        <v>406495</v>
      </c>
      <c r="M78" s="1">
        <f t="shared" si="89"/>
        <v>380488</v>
      </c>
      <c r="N78" s="1">
        <f t="shared" si="89"/>
        <v>30520</v>
      </c>
      <c r="O78" s="1">
        <f t="shared" si="89"/>
        <v>5815337</v>
      </c>
      <c r="P78" s="3">
        <f t="shared" si="86"/>
        <v>6632840</v>
      </c>
      <c r="Q78" s="18">
        <f>Q8+Q18+Q23+Q28+Q38+Q48+Q58+Q63+Q33+Q43+Q53+Q13</f>
        <v>263290</v>
      </c>
      <c r="R78" s="4"/>
      <c r="S78">
        <f t="shared" si="87"/>
        <v>263290</v>
      </c>
    </row>
    <row r="79" spans="1:19" ht="15.75" thickBot="1" x14ac:dyDescent="0.3">
      <c r="A79" s="5" t="s">
        <v>11</v>
      </c>
      <c r="B79" s="6">
        <f>SUM(B76:B78)</f>
        <v>6093598</v>
      </c>
      <c r="C79" s="6">
        <f t="shared" ref="C79:G79" si="90">SUM(C76:C78)</f>
        <v>170760</v>
      </c>
      <c r="D79" s="6">
        <f t="shared" si="90"/>
        <v>5745304</v>
      </c>
      <c r="E79" s="6">
        <f t="shared" si="90"/>
        <v>1344429</v>
      </c>
      <c r="F79" s="6">
        <f t="shared" si="90"/>
        <v>16253238</v>
      </c>
      <c r="G79" s="6">
        <f t="shared" si="90"/>
        <v>161655</v>
      </c>
      <c r="H79" s="21">
        <f t="shared" ref="H79:P79" si="91">SUM(H76:H78)</f>
        <v>29768984</v>
      </c>
      <c r="I79" s="20">
        <f t="shared" si="91"/>
        <v>5803600</v>
      </c>
      <c r="J79" s="6">
        <f t="shared" si="91"/>
        <v>9538014</v>
      </c>
      <c r="K79" s="6">
        <f t="shared" si="91"/>
        <v>1852472</v>
      </c>
      <c r="L79" s="6">
        <f t="shared" si="91"/>
        <v>572245</v>
      </c>
      <c r="M79" s="6">
        <f t="shared" si="91"/>
        <v>380488</v>
      </c>
      <c r="N79" s="6">
        <f t="shared" si="91"/>
        <v>115869</v>
      </c>
      <c r="O79" s="6">
        <f t="shared" si="91"/>
        <v>9827384</v>
      </c>
      <c r="P79" s="21">
        <f t="shared" si="91"/>
        <v>28090072</v>
      </c>
      <c r="Q79" s="20">
        <f>H79-P79</f>
        <v>1678912</v>
      </c>
      <c r="R79" s="7">
        <f>Q79/H79*100</f>
        <v>5.6398028229650032</v>
      </c>
      <c r="S79">
        <f>Q76+Q77+Q78</f>
        <v>1678912</v>
      </c>
    </row>
    <row r="80" spans="1:19" x14ac:dyDescent="0.25">
      <c r="B80">
        <f>B69+B74</f>
        <v>6093598</v>
      </c>
      <c r="C80">
        <f t="shared" ref="C80:Q80" si="92">C69+C74</f>
        <v>170760</v>
      </c>
      <c r="D80">
        <f t="shared" si="92"/>
        <v>5745304</v>
      </c>
      <c r="E80">
        <f t="shared" si="92"/>
        <v>1344429</v>
      </c>
      <c r="F80">
        <f t="shared" si="92"/>
        <v>16253238</v>
      </c>
      <c r="G80">
        <f t="shared" si="92"/>
        <v>161655</v>
      </c>
      <c r="H80" s="22">
        <f t="shared" si="92"/>
        <v>29768984</v>
      </c>
      <c r="I80">
        <f t="shared" si="92"/>
        <v>5803600</v>
      </c>
      <c r="J80">
        <f t="shared" si="92"/>
        <v>9538014</v>
      </c>
      <c r="K80">
        <f t="shared" si="92"/>
        <v>1852472</v>
      </c>
      <c r="L80">
        <f t="shared" si="92"/>
        <v>572245</v>
      </c>
      <c r="M80">
        <f t="shared" si="92"/>
        <v>380488</v>
      </c>
      <c r="N80">
        <f t="shared" si="92"/>
        <v>115869</v>
      </c>
      <c r="O80">
        <f t="shared" si="92"/>
        <v>9827384</v>
      </c>
      <c r="P80" s="23">
        <f t="shared" si="92"/>
        <v>28090072</v>
      </c>
      <c r="Q80">
        <f t="shared" si="92"/>
        <v>1678912</v>
      </c>
      <c r="R80" s="23"/>
    </row>
    <row r="83" spans="1:1" x14ac:dyDescent="0.25">
      <c r="A83" t="s">
        <v>29</v>
      </c>
    </row>
  </sheetData>
  <mergeCells count="20">
    <mergeCell ref="A40:Q40"/>
    <mergeCell ref="A3:H3"/>
    <mergeCell ref="I3:P3"/>
    <mergeCell ref="A5:Q5"/>
    <mergeCell ref="A10:Q10"/>
    <mergeCell ref="Q3:R3"/>
    <mergeCell ref="A15:Q15"/>
    <mergeCell ref="A20:Q20"/>
    <mergeCell ref="A25:Q25"/>
    <mergeCell ref="A30:Q30"/>
    <mergeCell ref="A35:Q35"/>
    <mergeCell ref="L4:M4"/>
    <mergeCell ref="N4:O4"/>
    <mergeCell ref="A75:Q75"/>
    <mergeCell ref="A60:Q60"/>
    <mergeCell ref="A55:Q55"/>
    <mergeCell ref="A50:Q50"/>
    <mergeCell ref="A45:Q45"/>
    <mergeCell ref="A65:Q65"/>
    <mergeCell ref="A70:Q70"/>
  </mergeCells>
  <pageMargins left="0.51181102362204722" right="0.31496062992125984" top="0.35433070866141736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2020-04-11T11:10:57Z</dcterms:modified>
</cp:coreProperties>
</file>